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смета 2" sheetId="1" r:id="rId1"/>
    <sheet name="Лист1" sheetId="2" r:id="rId2"/>
    <sheet name="Лист7" sheetId="3" state="hidden" r:id="rId3"/>
  </sheets>
  <definedNames>
    <definedName name="_xlnm.Print_Area" localSheetId="0">'смета 2'!$A$1:$N$106</definedName>
  </definedNames>
  <calcPr fullCalcOnLoad="1"/>
</workbook>
</file>

<file path=xl/sharedStrings.xml><?xml version="1.0" encoding="utf-8"?>
<sst xmlns="http://schemas.openxmlformats.org/spreadsheetml/2006/main" count="195" uniqueCount="170">
  <si>
    <t>1.</t>
  </si>
  <si>
    <t>3.</t>
  </si>
  <si>
    <t>4.</t>
  </si>
  <si>
    <t>5.</t>
  </si>
  <si>
    <t>6.</t>
  </si>
  <si>
    <t>№        п/п</t>
  </si>
  <si>
    <t xml:space="preserve">Статьи доходов </t>
  </si>
  <si>
    <t xml:space="preserve">Статьи расходов </t>
  </si>
  <si>
    <t>Начислено, руб.</t>
  </si>
  <si>
    <t>техническое диагностирование</t>
  </si>
  <si>
    <t>Юридические услуги</t>
  </si>
  <si>
    <t xml:space="preserve">Дополнительный резерв, необходимый для подержания, обслуживания, на случай чрезвычайных обстоятельств ( распределяется по усмотрению правления товарищества ) </t>
  </si>
  <si>
    <t xml:space="preserve">Распределяется на текущий финансовый период работы                                                             </t>
  </si>
  <si>
    <t>ТО КНС</t>
  </si>
  <si>
    <t>Плановые работы по текущему ремонту</t>
  </si>
  <si>
    <t xml:space="preserve">Тариф апарт           </t>
  </si>
  <si>
    <t>коммерч. Пом.</t>
  </si>
  <si>
    <t xml:space="preserve">Утверждена решением общего собрания членов ТСН "САЛЮТ 3"  </t>
  </si>
  <si>
    <t>ООО "Дозор"</t>
  </si>
  <si>
    <t>аварийное обслуживание, услуги связи, ежегодная промывка теплообменников, дератизация, приобретение оборудования , поверка оборудования, трубочистные работы, мобильная связь, обслуживание расчетного счета, обучение ответственных, услуги по передаче показаний приборов учета узлов учета.</t>
  </si>
  <si>
    <t>Дератизация</t>
  </si>
  <si>
    <t xml:space="preserve">аренда помещений </t>
  </si>
  <si>
    <t>Обслуживание ИТП</t>
  </si>
  <si>
    <t>СОТ, СКУД, СДК Кристалл</t>
  </si>
  <si>
    <t>Ежегодное страхование лифтов</t>
  </si>
  <si>
    <t xml:space="preserve">Председатель правления </t>
  </si>
  <si>
    <t xml:space="preserve">Ежемесячная Сумма,    руб.   </t>
  </si>
  <si>
    <t xml:space="preserve">Всего мес. </t>
  </si>
  <si>
    <t>тариф ком. Пом.,</t>
  </si>
  <si>
    <t>Коммерческие помещения</t>
  </si>
  <si>
    <t>Обучение персонала</t>
  </si>
  <si>
    <t>Мобильная связь</t>
  </si>
  <si>
    <t>Обслуживание узлов учета</t>
  </si>
  <si>
    <t>Уборка мест общего пользования</t>
  </si>
  <si>
    <t>2.</t>
  </si>
  <si>
    <t>7.</t>
  </si>
  <si>
    <t>8.</t>
  </si>
  <si>
    <t>Комплексное ТО инженерных систем</t>
  </si>
  <si>
    <t>ТО Противопожарные системы</t>
  </si>
  <si>
    <t>Доходы от оплаты интернет-провайдеров</t>
  </si>
  <si>
    <t>Доходы от оплаты за размещение рекламных мест</t>
  </si>
  <si>
    <t xml:space="preserve">Доходы по агентским договорам </t>
  </si>
  <si>
    <t>Работы по организации групповой работы лифтов</t>
  </si>
  <si>
    <t>Председатель правления</t>
  </si>
  <si>
    <t>Обслуживаемая площадь</t>
  </si>
  <si>
    <t>Удержания 13%</t>
  </si>
  <si>
    <t>Содержание общего имущества  здания</t>
  </si>
  <si>
    <t>Техническое обслуживание</t>
  </si>
  <si>
    <t>Обслуживание Лифта</t>
  </si>
  <si>
    <t xml:space="preserve"> Уборка территории</t>
  </si>
  <si>
    <t xml:space="preserve"> Текущий ремонт</t>
  </si>
  <si>
    <t>Доходы от предпринимательской деятельности.</t>
  </si>
  <si>
    <t xml:space="preserve"> Резервный фонд </t>
  </si>
  <si>
    <t>Отчисления с з/п (ПФ, ФСС)</t>
  </si>
  <si>
    <t>Ремонтные, аварийные работы, непредвиденные работы</t>
  </si>
  <si>
    <t>Итого</t>
  </si>
  <si>
    <t>кладовки</t>
  </si>
  <si>
    <t>апартаменты</t>
  </si>
  <si>
    <t>ТО тревожной кнопки</t>
  </si>
  <si>
    <t>Апартаменты</t>
  </si>
  <si>
    <t>Семенары, подписка</t>
  </si>
  <si>
    <t>Ежегодное освидетельствование лифтов, приемка</t>
  </si>
  <si>
    <t>Лифты</t>
  </si>
  <si>
    <t>Кладовки</t>
  </si>
  <si>
    <t>Нежилые пом.</t>
  </si>
  <si>
    <t>Сумма в месяц</t>
  </si>
  <si>
    <t>Целевой взнос</t>
  </si>
  <si>
    <t>Расход по договору</t>
  </si>
  <si>
    <t>Ежегодное освидетельствование, приемка</t>
  </si>
  <si>
    <t>Ежегодное страхование</t>
  </si>
  <si>
    <t xml:space="preserve">Апартаменты </t>
  </si>
  <si>
    <t>Апарт, клад.</t>
  </si>
  <si>
    <t>ТО лифтов 2 шт.</t>
  </si>
  <si>
    <t xml:space="preserve">Комплексное ТО инженерных систем </t>
  </si>
  <si>
    <t xml:space="preserve">Тарифы расчитаны на основании заключенных договоров. Стоимость договоров на обслуживание уменьшена в </t>
  </si>
  <si>
    <t>связи с тем, что системы в здании не приняты в полном объеме.</t>
  </si>
  <si>
    <t>Утверждаю</t>
  </si>
  <si>
    <t>Заместитель председателя правления</t>
  </si>
  <si>
    <t>Нежил, пом.</t>
  </si>
  <si>
    <t>Администрирование</t>
  </si>
  <si>
    <t xml:space="preserve">Диспетчер по лифтам  (1 ставка)      </t>
  </si>
  <si>
    <t>11</t>
  </si>
  <si>
    <t>Текущие ремонтные работы</t>
  </si>
  <si>
    <t xml:space="preserve">Диспетчер по обслуживанию лифтов с диспетчерского пулульта  (1 ставка), в т.ч. НДФЛ, отчисления с ФОТ   </t>
  </si>
  <si>
    <t>Секретарь-дедопроизводитель, в т.ч. НДФЛ, отчисления с ФОТ</t>
  </si>
  <si>
    <t>Текущие рем. работы, расходные материалы</t>
  </si>
  <si>
    <t>Вывоз  мусора</t>
  </si>
  <si>
    <t>______________________Григорьева О.А.</t>
  </si>
  <si>
    <t>Всего</t>
  </si>
  <si>
    <t>РАСЧЕТ  СТОИМОСТИ ЦЕЛЕВОГО ВЗНОСА  ЗА октябрь 2017 года.</t>
  </si>
  <si>
    <t>Приобретение оборудования, инвентаря</t>
  </si>
  <si>
    <t>Замена грязезащитных ковров</t>
  </si>
  <si>
    <t>Услуги по контролю</t>
  </si>
  <si>
    <t xml:space="preserve"> сумма, руб. 12 мес. </t>
  </si>
  <si>
    <t>Председатель общего собрания  ____________________ М.Я. Сливка</t>
  </si>
  <si>
    <t>Диспетчер</t>
  </si>
  <si>
    <t>Доходы от оплаты за предоставление мест в холле</t>
  </si>
  <si>
    <t>ГО и ЧС ,  радиовещание (ООО Базальт)</t>
  </si>
  <si>
    <t>ТО Видеонаблюдение, СКУД, диспетчеризация</t>
  </si>
  <si>
    <t>ТО системы пожарной сигнализации, ТО системы пожаротушения и дымоудаления, ТО системы пожарного трубопровода и  насосной станции, ТО ИТП, ТО система вентиляции, ТО системы оповещения ГО и ЧС, ТО системы охранного телевидения (СОТ) и диспетчеризации (СДК), ТО системы контроля и управления доступом (СКУД), , ТО видеонаблюдение, ТО наружной канализации,  ТО фасадного освещения, Обслуживание систем электроснабжения объекта , обслуживание систем теплоснабжения, обслуживание систем водоснабжения и канализации.</t>
  </si>
  <si>
    <t>Комплексная уборка территории</t>
  </si>
  <si>
    <t>Мытье  наружного остекления</t>
  </si>
  <si>
    <t>Мытье фасада 1 раз в год</t>
  </si>
  <si>
    <t>Мытье наружного остекления 1 раз в год</t>
  </si>
  <si>
    <t>9.</t>
  </si>
  <si>
    <t xml:space="preserve"> штрафы, пени,  договорная неустойка</t>
  </si>
  <si>
    <t>Фонд оплаты труда</t>
  </si>
  <si>
    <t>Секрктарь-делопроизводитель</t>
  </si>
  <si>
    <t>ИТОГО ФОТ</t>
  </si>
  <si>
    <t>12</t>
  </si>
  <si>
    <t>ИТОГО</t>
  </si>
  <si>
    <t>Благоустройство территории (ограждение,ремонт)</t>
  </si>
  <si>
    <t>Содержание общего имущества здания</t>
  </si>
  <si>
    <t>Обслуживание лифтов</t>
  </si>
  <si>
    <t>Уборка МОП</t>
  </si>
  <si>
    <t>Уборка территории</t>
  </si>
  <si>
    <t>Мытье наружного остекления</t>
  </si>
  <si>
    <t>Текущий ремонт</t>
  </si>
  <si>
    <t>Резервный фонд</t>
  </si>
  <si>
    <t xml:space="preserve">Итого </t>
  </si>
  <si>
    <t>Антенна шт.</t>
  </si>
  <si>
    <t>ТАРИФЫ НА СОДЕРЖАНИЕ ОБЩЕГО ИМУЩЕСТВА</t>
  </si>
  <si>
    <t>01.07.21-30.06.22</t>
  </si>
  <si>
    <t>Техническое обслуживание лифтов</t>
  </si>
  <si>
    <t>Главный бухгалтер</t>
  </si>
  <si>
    <t>Тиунова О.В.</t>
  </si>
  <si>
    <t>Нежилые помещения</t>
  </si>
  <si>
    <t>ТСН "МФК "Салют 3"</t>
  </si>
  <si>
    <t>Оклад</t>
  </si>
  <si>
    <t>ЗП на руки</t>
  </si>
  <si>
    <t>Месяц</t>
  </si>
  <si>
    <t>Год</t>
  </si>
  <si>
    <t>Служба Администрирования</t>
  </si>
  <si>
    <t>01.07.22-30.06.23</t>
  </si>
  <si>
    <t>от ______ _______________ 2023 года</t>
  </si>
  <si>
    <t>10</t>
  </si>
  <si>
    <t>Отчисления      30,02 %</t>
  </si>
  <si>
    <t>площадь</t>
  </si>
  <si>
    <t>Помещения</t>
  </si>
  <si>
    <t>Секретарь-делопроизводитель</t>
  </si>
  <si>
    <t>отчисления ФОТ</t>
  </si>
  <si>
    <t>охрана групппой реагирования</t>
  </si>
  <si>
    <t>Хоз.товары для уборки МОП</t>
  </si>
  <si>
    <t>Гл. Бухгалтер</t>
  </si>
  <si>
    <t>Административно-управленческие расходы (АУП)</t>
  </si>
  <si>
    <t>Управляющий 1/2 ставки</t>
  </si>
  <si>
    <t>Отчисления с фот 30,2%</t>
  </si>
  <si>
    <t xml:space="preserve">Отчисления с фот 30,2% </t>
  </si>
  <si>
    <t>Итого ЗП в месяц</t>
  </si>
  <si>
    <t>Бухгалтер 1/2 ставки</t>
  </si>
  <si>
    <t>Инженер по пожарной безопасности 1/2 ставки</t>
  </si>
  <si>
    <t>Управляющий 1/2</t>
  </si>
  <si>
    <t>Инженер по пожарной безопасности 1/2</t>
  </si>
  <si>
    <t>Бухгалтер 1/2</t>
  </si>
  <si>
    <t>Прочие (ключ-брелок)</t>
  </si>
  <si>
    <t>59 р.</t>
  </si>
  <si>
    <t>Обслуживание р/с, услуги банка</t>
  </si>
  <si>
    <t xml:space="preserve"> Услуги связи ГО и ЧС </t>
  </si>
  <si>
    <t>Подготовка к отопительному сезону (промывка, поверка , замена оборудования)</t>
  </si>
  <si>
    <t>Организационно-управленческие расходы (канцелярия, почта)</t>
  </si>
  <si>
    <t xml:space="preserve">Антенна </t>
  </si>
  <si>
    <t>220 р.</t>
  </si>
  <si>
    <t>01.07.23-30.06.24</t>
  </si>
  <si>
    <t>Ключ- брелок</t>
  </si>
  <si>
    <t>Административно-управленческие расходы</t>
  </si>
  <si>
    <t>Доп. Работы сезонного характера: менанизированная уборка снега, в т.ч. с крыши,  озеленение территории, окраска временных конструкций)</t>
  </si>
  <si>
    <t>Прочие хоз.товары</t>
  </si>
  <si>
    <t xml:space="preserve">Обслуживание программного обеспечения </t>
  </si>
  <si>
    <t>Аварийные работы СОИ</t>
  </si>
  <si>
    <r>
      <t xml:space="preserve">    СМЕТА </t>
    </r>
    <r>
      <rPr>
        <sz val="10"/>
        <rFont val="Arial"/>
        <family val="2"/>
      </rPr>
      <t xml:space="preserve">доходов и расходов на управление и содержание здания ТСН "МФК  Салют 3", расположенного по адресу:                                                                                                     Санкт-Петербург, Пулковское шоссе, д.14, литера Е на период с 01 июля 2023г. по 30 июня 2024 г.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</si>
</sst>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&quot;р.&quot;"/>
    <numFmt numFmtId="183" formatCode="[$-FC19]d\ mmmm\ yyyy\ &quot;г.&quot;"/>
    <numFmt numFmtId="184" formatCode="[$-419]mmmm\ yy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р_."/>
    <numFmt numFmtId="190" formatCode="#,##0.0_р_."/>
    <numFmt numFmtId="191" formatCode="#,##0.0"/>
  </numFmts>
  <fonts count="7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u val="single"/>
      <sz val="12"/>
      <name val="Times New Roman"/>
      <family val="1"/>
    </font>
    <font>
      <i/>
      <sz val="7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i/>
      <u val="single"/>
      <sz val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i/>
      <sz val="9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Arial Cyr"/>
      <family val="0"/>
    </font>
    <font>
      <b/>
      <i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2"/>
      <name val="Arial"/>
      <family val="2"/>
    </font>
    <font>
      <sz val="8"/>
      <color indexed="30"/>
      <name val="Arial"/>
      <family val="2"/>
    </font>
    <font>
      <b/>
      <sz val="8"/>
      <color indexed="56"/>
      <name val="Arial"/>
      <family val="2"/>
    </font>
    <font>
      <b/>
      <sz val="8"/>
      <color indexed="30"/>
      <name val="Arial"/>
      <family val="2"/>
    </font>
    <font>
      <b/>
      <sz val="11"/>
      <name val="Calibri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sz val="8"/>
      <color theme="3" tint="0.39998000860214233"/>
      <name val="Arial"/>
      <family val="2"/>
    </font>
    <font>
      <sz val="8"/>
      <color rgb="FF0070C0"/>
      <name val="Arial"/>
      <family val="2"/>
    </font>
    <font>
      <b/>
      <sz val="8"/>
      <color theme="3"/>
      <name val="Arial"/>
      <family val="2"/>
    </font>
    <font>
      <b/>
      <sz val="8"/>
      <color rgb="FF0070C0"/>
      <name val="Arial"/>
      <family val="2"/>
    </font>
    <font>
      <b/>
      <sz val="10"/>
      <color theme="3" tint="0.39998000860214233"/>
      <name val="Arial"/>
      <family val="2"/>
    </font>
    <font>
      <sz val="10"/>
      <color rgb="FF0070C0"/>
      <name val="Arial"/>
      <family val="2"/>
    </font>
    <font>
      <sz val="10"/>
      <color theme="3" tint="0.39998000860214233"/>
      <name val="Arial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18" fillId="0" borderId="0">
      <alignment/>
      <protection/>
    </xf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470">
    <xf numFmtId="0" fontId="0" fillId="0" borderId="0" xfId="0" applyAlignment="1">
      <alignment/>
    </xf>
    <xf numFmtId="0" fontId="4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2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/>
    </xf>
    <xf numFmtId="2" fontId="2" fillId="0" borderId="1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73" fontId="13" fillId="0" borderId="0" xfId="0" applyNumberFormat="1" applyFont="1" applyFill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 wrapText="1"/>
    </xf>
    <xf numFmtId="173" fontId="1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13" fillId="0" borderId="0" xfId="0" applyNumberFormat="1" applyFont="1" applyBorder="1" applyAlignment="1">
      <alignment horizontal="center" vertical="center"/>
    </xf>
    <xf numFmtId="173" fontId="66" fillId="0" borderId="0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189" fontId="2" fillId="0" borderId="10" xfId="0" applyNumberFormat="1" applyFont="1" applyBorder="1" applyAlignment="1">
      <alignment horizontal="center" vertical="center"/>
    </xf>
    <xf numFmtId="189" fontId="1" fillId="0" borderId="21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189" fontId="66" fillId="0" borderId="23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89" fontId="2" fillId="0" borderId="25" xfId="0" applyNumberFormat="1" applyFont="1" applyBorder="1" applyAlignment="1">
      <alignment horizontal="center" vertical="center" wrapText="1"/>
    </xf>
    <xf numFmtId="189" fontId="66" fillId="0" borderId="26" xfId="0" applyNumberFormat="1" applyFont="1" applyBorder="1" applyAlignment="1">
      <alignment horizontal="center" vertical="center"/>
    </xf>
    <xf numFmtId="189" fontId="66" fillId="0" borderId="27" xfId="0" applyNumberFormat="1" applyFont="1" applyBorder="1" applyAlignment="1">
      <alignment horizontal="center" vertical="center"/>
    </xf>
    <xf numFmtId="189" fontId="1" fillId="0" borderId="27" xfId="0" applyNumberFormat="1" applyFont="1" applyBorder="1" applyAlignment="1">
      <alignment horizontal="center" vertical="center"/>
    </xf>
    <xf numFmtId="189" fontId="1" fillId="0" borderId="28" xfId="0" applyNumberFormat="1" applyFont="1" applyBorder="1" applyAlignment="1">
      <alignment horizontal="center" vertical="center"/>
    </xf>
    <xf numFmtId="189" fontId="14" fillId="32" borderId="29" xfId="0" applyNumberFormat="1" applyFont="1" applyFill="1" applyBorder="1" applyAlignment="1">
      <alignment horizontal="center" vertical="center"/>
    </xf>
    <xf numFmtId="2" fontId="1" fillId="0" borderId="30" xfId="0" applyNumberFormat="1" applyFont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2" fontId="2" fillId="0" borderId="33" xfId="0" applyNumberFormat="1" applyFont="1" applyBorder="1" applyAlignment="1">
      <alignment horizontal="center" vertical="center" wrapText="1"/>
    </xf>
    <xf numFmtId="189" fontId="66" fillId="0" borderId="34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189" fontId="2" fillId="0" borderId="37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/>
    </xf>
    <xf numFmtId="189" fontId="67" fillId="0" borderId="30" xfId="0" applyNumberFormat="1" applyFont="1" applyBorder="1" applyAlignment="1">
      <alignment horizontal="center" vertical="center" wrapText="1"/>
    </xf>
    <xf numFmtId="189" fontId="66" fillId="0" borderId="38" xfId="0" applyNumberFormat="1" applyFont="1" applyBorder="1" applyAlignment="1">
      <alignment horizontal="center" vertical="center"/>
    </xf>
    <xf numFmtId="189" fontId="1" fillId="0" borderId="27" xfId="0" applyNumberFormat="1" applyFont="1" applyBorder="1" applyAlignment="1">
      <alignment horizontal="center" vertical="center" wrapText="1"/>
    </xf>
    <xf numFmtId="189" fontId="1" fillId="0" borderId="22" xfId="0" applyNumberFormat="1" applyFont="1" applyBorder="1" applyAlignment="1">
      <alignment horizontal="center" vertical="center"/>
    </xf>
    <xf numFmtId="189" fontId="1" fillId="0" borderId="0" xfId="0" applyNumberFormat="1" applyFont="1" applyBorder="1" applyAlignment="1">
      <alignment horizontal="center" vertical="center"/>
    </xf>
    <xf numFmtId="189" fontId="1" fillId="0" borderId="35" xfId="0" applyNumberFormat="1" applyFont="1" applyBorder="1" applyAlignment="1">
      <alignment horizontal="center" vertical="center"/>
    </xf>
    <xf numFmtId="189" fontId="1" fillId="0" borderId="35" xfId="0" applyNumberFormat="1" applyFont="1" applyBorder="1" applyAlignment="1">
      <alignment horizontal="center" vertical="center" wrapText="1"/>
    </xf>
    <xf numFmtId="189" fontId="1" fillId="0" borderId="24" xfId="0" applyNumberFormat="1" applyFont="1" applyBorder="1" applyAlignment="1">
      <alignment horizontal="center" vertical="center"/>
    </xf>
    <xf numFmtId="173" fontId="67" fillId="0" borderId="3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89" fontId="1" fillId="0" borderId="29" xfId="0" applyNumberFormat="1" applyFont="1" applyBorder="1" applyAlignment="1">
      <alignment horizontal="center" vertical="center"/>
    </xf>
    <xf numFmtId="189" fontId="66" fillId="0" borderId="11" xfId="0" applyNumberFormat="1" applyFont="1" applyBorder="1" applyAlignment="1">
      <alignment horizontal="center" vertical="center" wrapText="1"/>
    </xf>
    <xf numFmtId="189" fontId="1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3" fontId="66" fillId="0" borderId="23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89" fontId="67" fillId="0" borderId="25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/>
    </xf>
    <xf numFmtId="189" fontId="0" fillId="0" borderId="30" xfId="0" applyNumberForma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189" fontId="66" fillId="0" borderId="11" xfId="0" applyNumberFormat="1" applyFont="1" applyBorder="1" applyAlignment="1">
      <alignment horizontal="center" vertical="center"/>
    </xf>
    <xf numFmtId="189" fontId="1" fillId="0" borderId="21" xfId="0" applyNumberFormat="1" applyFont="1" applyBorder="1" applyAlignment="1">
      <alignment/>
    </xf>
    <xf numFmtId="0" fontId="10" fillId="0" borderId="15" xfId="0" applyFont="1" applyBorder="1" applyAlignment="1">
      <alignment/>
    </xf>
    <xf numFmtId="189" fontId="66" fillId="0" borderId="36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2" fontId="68" fillId="0" borderId="34" xfId="0" applyNumberFormat="1" applyFont="1" applyBorder="1" applyAlignment="1">
      <alignment horizontal="center" vertical="center"/>
    </xf>
    <xf numFmtId="189" fontId="67" fillId="0" borderId="23" xfId="0" applyNumberFormat="1" applyFont="1" applyBorder="1" applyAlignment="1">
      <alignment horizontal="center" vertical="center"/>
    </xf>
    <xf numFmtId="189" fontId="1" fillId="0" borderId="34" xfId="0" applyNumberFormat="1" applyFont="1" applyBorder="1" applyAlignment="1">
      <alignment horizontal="center" vertical="center"/>
    </xf>
    <xf numFmtId="189" fontId="1" fillId="0" borderId="42" xfId="0" applyNumberFormat="1" applyFont="1" applyBorder="1" applyAlignment="1">
      <alignment horizontal="center" vertical="center"/>
    </xf>
    <xf numFmtId="189" fontId="1" fillId="0" borderId="11" xfId="0" applyNumberFormat="1" applyFont="1" applyBorder="1" applyAlignment="1">
      <alignment horizontal="center" vertical="center"/>
    </xf>
    <xf numFmtId="189" fontId="1" fillId="0" borderId="24" xfId="0" applyNumberFormat="1" applyFont="1" applyBorder="1" applyAlignment="1">
      <alignment/>
    </xf>
    <xf numFmtId="189" fontId="1" fillId="0" borderId="34" xfId="0" applyNumberFormat="1" applyFont="1" applyBorder="1" applyAlignment="1">
      <alignment/>
    </xf>
    <xf numFmtId="189" fontId="1" fillId="0" borderId="35" xfId="0" applyNumberFormat="1" applyFont="1" applyBorder="1" applyAlignment="1">
      <alignment/>
    </xf>
    <xf numFmtId="189" fontId="1" fillId="0" borderId="43" xfId="0" applyNumberFormat="1" applyFont="1" applyBorder="1" applyAlignment="1">
      <alignment horizontal="center" vertical="center"/>
    </xf>
    <xf numFmtId="189" fontId="1" fillId="0" borderId="44" xfId="0" applyNumberFormat="1" applyFont="1" applyBorder="1" applyAlignment="1">
      <alignment horizontal="center" vertical="center"/>
    </xf>
    <xf numFmtId="189" fontId="1" fillId="0" borderId="42" xfId="0" applyNumberFormat="1" applyFont="1" applyBorder="1" applyAlignment="1">
      <alignment horizontal="center" vertical="center"/>
    </xf>
    <xf numFmtId="189" fontId="1" fillId="32" borderId="42" xfId="0" applyNumberFormat="1" applyFont="1" applyFill="1" applyBorder="1" applyAlignment="1">
      <alignment horizontal="center" vertical="center"/>
    </xf>
    <xf numFmtId="189" fontId="14" fillId="0" borderId="44" xfId="0" applyNumberFormat="1" applyFont="1" applyBorder="1" applyAlignment="1">
      <alignment horizontal="center" vertical="center"/>
    </xf>
    <xf numFmtId="39" fontId="67" fillId="0" borderId="2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2" fontId="8" fillId="0" borderId="45" xfId="0" applyNumberFormat="1" applyFont="1" applyBorder="1" applyAlignment="1">
      <alignment horizontal="center" vertical="center" wrapText="1"/>
    </xf>
    <xf numFmtId="173" fontId="13" fillId="0" borderId="41" xfId="0" applyNumberFormat="1" applyFont="1" applyBorder="1" applyAlignment="1">
      <alignment horizontal="center" vertical="center" wrapText="1"/>
    </xf>
    <xf numFmtId="189" fontId="0" fillId="0" borderId="17" xfId="0" applyNumberFormat="1" applyBorder="1" applyAlignment="1">
      <alignment horizontal="center" vertical="center" wrapText="1"/>
    </xf>
    <xf numFmtId="189" fontId="1" fillId="0" borderId="0" xfId="0" applyNumberFormat="1" applyFont="1" applyBorder="1" applyAlignment="1">
      <alignment horizontal="center" vertical="center" wrapText="1"/>
    </xf>
    <xf numFmtId="189" fontId="0" fillId="0" borderId="16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89" fontId="2" fillId="0" borderId="46" xfId="0" applyNumberFormat="1" applyFont="1" applyBorder="1" applyAlignment="1">
      <alignment horizontal="center" vertical="center" wrapText="1"/>
    </xf>
    <xf numFmtId="189" fontId="2" fillId="0" borderId="47" xfId="0" applyNumberFormat="1" applyFont="1" applyBorder="1" applyAlignment="1">
      <alignment horizontal="center" vertical="center" wrapText="1"/>
    </xf>
    <xf numFmtId="189" fontId="2" fillId="0" borderId="16" xfId="0" applyNumberFormat="1" applyFont="1" applyBorder="1" applyAlignment="1">
      <alignment horizontal="center" vertical="center" wrapText="1"/>
    </xf>
    <xf numFmtId="189" fontId="1" fillId="0" borderId="48" xfId="0" applyNumberFormat="1" applyFont="1" applyBorder="1" applyAlignment="1">
      <alignment horizontal="center" vertical="center" wrapText="1"/>
    </xf>
    <xf numFmtId="189" fontId="1" fillId="0" borderId="33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/>
    </xf>
    <xf numFmtId="173" fontId="13" fillId="0" borderId="50" xfId="0" applyNumberFormat="1" applyFont="1" applyBorder="1" applyAlignment="1">
      <alignment horizontal="center" vertical="center" wrapText="1"/>
    </xf>
    <xf numFmtId="189" fontId="69" fillId="0" borderId="34" xfId="0" applyNumberFormat="1" applyFont="1" applyBorder="1" applyAlignment="1">
      <alignment horizontal="center" vertical="center" wrapText="1"/>
    </xf>
    <xf numFmtId="189" fontId="1" fillId="0" borderId="46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51" xfId="0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/>
    </xf>
    <xf numFmtId="189" fontId="0" fillId="0" borderId="15" xfId="0" applyNumberFormat="1" applyBorder="1" applyAlignment="1">
      <alignment horizontal="center" vertical="center"/>
    </xf>
    <xf numFmtId="189" fontId="10" fillId="0" borderId="15" xfId="0" applyNumberFormat="1" applyFont="1" applyBorder="1" applyAlignment="1">
      <alignment horizontal="center" vertical="center"/>
    </xf>
    <xf numFmtId="2" fontId="10" fillId="0" borderId="53" xfId="0" applyNumberFormat="1" applyFont="1" applyBorder="1" applyAlignment="1">
      <alignment horizontal="center" vertical="center"/>
    </xf>
    <xf numFmtId="189" fontId="0" fillId="0" borderId="15" xfId="0" applyNumberFormat="1" applyBorder="1" applyAlignment="1">
      <alignment horizontal="center" vertical="center" wrapText="1"/>
    </xf>
    <xf numFmtId="189" fontId="0" fillId="0" borderId="54" xfId="0" applyNumberForma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89" fontId="2" fillId="0" borderId="16" xfId="0" applyNumberFormat="1" applyFont="1" applyBorder="1" applyAlignment="1">
      <alignment horizontal="center" vertical="center"/>
    </xf>
    <xf numFmtId="189" fontId="2" fillId="0" borderId="17" xfId="0" applyNumberFormat="1" applyFont="1" applyBorder="1" applyAlignment="1">
      <alignment horizontal="center" vertical="center"/>
    </xf>
    <xf numFmtId="189" fontId="66" fillId="0" borderId="11" xfId="0" applyNumberFormat="1" applyFont="1" applyBorder="1" applyAlignment="1">
      <alignment horizontal="center" vertical="center" wrapText="1"/>
    </xf>
    <xf numFmtId="189" fontId="67" fillId="0" borderId="0" xfId="0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89" fontId="2" fillId="0" borderId="15" xfId="0" applyNumberFormat="1" applyFont="1" applyBorder="1" applyAlignment="1">
      <alignment horizontal="center" vertical="center"/>
    </xf>
    <xf numFmtId="189" fontId="67" fillId="0" borderId="40" xfId="0" applyNumberFormat="1" applyFont="1" applyBorder="1" applyAlignment="1">
      <alignment horizontal="center" vertical="center" wrapText="1"/>
    </xf>
    <xf numFmtId="189" fontId="66" fillId="0" borderId="35" xfId="0" applyNumberFormat="1" applyFont="1" applyBorder="1" applyAlignment="1">
      <alignment horizontal="center" vertical="center" wrapText="1"/>
    </xf>
    <xf numFmtId="189" fontId="1" fillId="0" borderId="35" xfId="0" applyNumberFormat="1" applyFont="1" applyBorder="1" applyAlignment="1">
      <alignment horizontal="center" vertical="center"/>
    </xf>
    <xf numFmtId="189" fontId="67" fillId="0" borderId="55" xfId="0" applyNumberFormat="1" applyFont="1" applyBorder="1" applyAlignment="1">
      <alignment horizontal="center" vertical="center" wrapText="1"/>
    </xf>
    <xf numFmtId="189" fontId="1" fillId="0" borderId="24" xfId="0" applyNumberFormat="1" applyFont="1" applyBorder="1" applyAlignment="1">
      <alignment horizontal="center" vertical="center"/>
    </xf>
    <xf numFmtId="189" fontId="66" fillId="0" borderId="38" xfId="0" applyNumberFormat="1" applyFont="1" applyBorder="1" applyAlignment="1">
      <alignment horizontal="center" vertical="center" wrapText="1"/>
    </xf>
    <xf numFmtId="189" fontId="2" fillId="0" borderId="49" xfId="0" applyNumberFormat="1" applyFont="1" applyBorder="1" applyAlignment="1">
      <alignment horizontal="center" vertical="center"/>
    </xf>
    <xf numFmtId="189" fontId="2" fillId="0" borderId="56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189" fontId="67" fillId="0" borderId="12" xfId="0" applyNumberFormat="1" applyFont="1" applyBorder="1" applyAlignment="1">
      <alignment horizontal="center" vertical="center" wrapText="1"/>
    </xf>
    <xf numFmtId="189" fontId="2" fillId="0" borderId="17" xfId="0" applyNumberFormat="1" applyFont="1" applyBorder="1" applyAlignment="1">
      <alignment horizontal="center" vertical="center" wrapText="1"/>
    </xf>
    <xf numFmtId="0" fontId="10" fillId="0" borderId="53" xfId="0" applyFont="1" applyBorder="1" applyAlignment="1">
      <alignment/>
    </xf>
    <xf numFmtId="2" fontId="0" fillId="0" borderId="53" xfId="0" applyNumberFormat="1" applyFont="1" applyBorder="1" applyAlignment="1">
      <alignment horizontal="center" vertical="center"/>
    </xf>
    <xf numFmtId="189" fontId="0" fillId="0" borderId="54" xfId="0" applyNumberFormat="1" applyFont="1" applyBorder="1" applyAlignment="1">
      <alignment horizontal="center" vertical="center"/>
    </xf>
    <xf numFmtId="189" fontId="0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189" fontId="1" fillId="0" borderId="16" xfId="0" applyNumberFormat="1" applyFont="1" applyBorder="1" applyAlignment="1">
      <alignment horizontal="center" vertical="center" wrapText="1"/>
    </xf>
    <xf numFmtId="189" fontId="1" fillId="0" borderId="15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/>
    </xf>
    <xf numFmtId="0" fontId="10" fillId="0" borderId="0" xfId="0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10" fillId="0" borderId="0" xfId="0" applyNumberFormat="1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90" fontId="1" fillId="0" borderId="57" xfId="0" applyNumberFormat="1" applyFont="1" applyBorder="1" applyAlignment="1">
      <alignment horizontal="center" vertical="center"/>
    </xf>
    <xf numFmtId="190" fontId="1" fillId="0" borderId="35" xfId="0" applyNumberFormat="1" applyFont="1" applyBorder="1" applyAlignment="1">
      <alignment horizontal="center" vertical="center"/>
    </xf>
    <xf numFmtId="190" fontId="1" fillId="0" borderId="51" xfId="0" applyNumberFormat="1" applyFont="1" applyBorder="1" applyAlignment="1">
      <alignment horizontal="center" vertical="center"/>
    </xf>
    <xf numFmtId="189" fontId="2" fillId="0" borderId="58" xfId="0" applyNumberFormat="1" applyFont="1" applyBorder="1" applyAlignment="1">
      <alignment horizontal="center" vertical="center"/>
    </xf>
    <xf numFmtId="189" fontId="2" fillId="0" borderId="40" xfId="0" applyNumberFormat="1" applyFont="1" applyBorder="1" applyAlignment="1">
      <alignment horizontal="center" vertical="center"/>
    </xf>
    <xf numFmtId="189" fontId="2" fillId="0" borderId="58" xfId="0" applyNumberFormat="1" applyFont="1" applyBorder="1" applyAlignment="1">
      <alignment horizontal="center" vertical="center" wrapText="1"/>
    </xf>
    <xf numFmtId="189" fontId="2" fillId="0" borderId="40" xfId="0" applyNumberFormat="1" applyFont="1" applyBorder="1" applyAlignment="1">
      <alignment horizontal="center" vertical="center" wrapText="1"/>
    </xf>
    <xf numFmtId="189" fontId="2" fillId="0" borderId="22" xfId="0" applyNumberFormat="1" applyFont="1" applyBorder="1" applyAlignment="1">
      <alignment horizontal="center" vertical="center"/>
    </xf>
    <xf numFmtId="189" fontId="2" fillId="0" borderId="59" xfId="0" applyNumberFormat="1" applyFont="1" applyBorder="1" applyAlignment="1">
      <alignment horizontal="center" vertical="center" wrapText="1"/>
    </xf>
    <xf numFmtId="189" fontId="2" fillId="0" borderId="27" xfId="0" applyNumberFormat="1" applyFont="1" applyBorder="1" applyAlignment="1">
      <alignment horizontal="center" vertical="center"/>
    </xf>
    <xf numFmtId="189" fontId="2" fillId="0" borderId="12" xfId="0" applyNumberFormat="1" applyFont="1" applyBorder="1" applyAlignment="1">
      <alignment horizontal="center" vertical="center" wrapText="1"/>
    </xf>
    <xf numFmtId="189" fontId="2" fillId="0" borderId="0" xfId="0" applyNumberFormat="1" applyFont="1" applyBorder="1" applyAlignment="1">
      <alignment horizontal="center" vertical="center"/>
    </xf>
    <xf numFmtId="189" fontId="2" fillId="0" borderId="60" xfId="0" applyNumberFormat="1" applyFont="1" applyBorder="1" applyAlignment="1">
      <alignment horizontal="center" vertical="center" wrapText="1"/>
    </xf>
    <xf numFmtId="189" fontId="2" fillId="0" borderId="33" xfId="0" applyNumberFormat="1" applyFont="1" applyBorder="1" applyAlignment="1">
      <alignment horizontal="center" vertical="center" wrapText="1"/>
    </xf>
    <xf numFmtId="189" fontId="2" fillId="0" borderId="19" xfId="0" applyNumberFormat="1" applyFont="1" applyBorder="1" applyAlignment="1">
      <alignment horizontal="center" vertical="center"/>
    </xf>
    <xf numFmtId="189" fontId="2" fillId="0" borderId="19" xfId="0" applyNumberFormat="1" applyFont="1" applyBorder="1" applyAlignment="1">
      <alignment horizontal="center" vertical="center" wrapText="1"/>
    </xf>
    <xf numFmtId="189" fontId="1" fillId="0" borderId="61" xfId="0" applyNumberFormat="1" applyFont="1" applyBorder="1" applyAlignment="1">
      <alignment horizontal="center" vertical="center" wrapText="1"/>
    </xf>
    <xf numFmtId="189" fontId="1" fillId="0" borderId="37" xfId="0" applyNumberFormat="1" applyFont="1" applyBorder="1" applyAlignment="1">
      <alignment horizontal="center" vertical="center" wrapText="1"/>
    </xf>
    <xf numFmtId="189" fontId="1" fillId="0" borderId="5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39" fontId="66" fillId="0" borderId="62" xfId="0" applyNumberFormat="1" applyFont="1" applyBorder="1" applyAlignment="1">
      <alignment horizontal="center" vertical="center" wrapText="1"/>
    </xf>
    <xf numFmtId="189" fontId="69" fillId="0" borderId="21" xfId="0" applyNumberFormat="1" applyFont="1" applyBorder="1" applyAlignment="1">
      <alignment horizontal="center" vertical="center"/>
    </xf>
    <xf numFmtId="189" fontId="66" fillId="0" borderId="57" xfId="0" applyNumberFormat="1" applyFont="1" applyBorder="1" applyAlignment="1">
      <alignment horizontal="center" vertical="center"/>
    </xf>
    <xf numFmtId="189" fontId="70" fillId="0" borderId="63" xfId="0" applyNumberFormat="1" applyFont="1" applyBorder="1" applyAlignment="1">
      <alignment horizontal="center" vertical="center" wrapText="1"/>
    </xf>
    <xf numFmtId="189" fontId="70" fillId="0" borderId="62" xfId="0" applyNumberFormat="1" applyFont="1" applyBorder="1" applyAlignment="1">
      <alignment horizontal="center" vertical="center"/>
    </xf>
    <xf numFmtId="189" fontId="70" fillId="0" borderId="23" xfId="0" applyNumberFormat="1" applyFont="1" applyBorder="1" applyAlignment="1">
      <alignment horizontal="center" vertical="center" wrapText="1"/>
    </xf>
    <xf numFmtId="39" fontId="70" fillId="0" borderId="23" xfId="0" applyNumberFormat="1" applyFont="1" applyBorder="1" applyAlignment="1">
      <alignment horizontal="center" vertical="center" wrapText="1"/>
    </xf>
    <xf numFmtId="189" fontId="70" fillId="0" borderId="23" xfId="0" applyNumberFormat="1" applyFont="1" applyBorder="1" applyAlignment="1">
      <alignment horizontal="center" vertical="center"/>
    </xf>
    <xf numFmtId="189" fontId="70" fillId="0" borderId="64" xfId="0" applyNumberFormat="1" applyFont="1" applyBorder="1" applyAlignment="1">
      <alignment horizontal="center" vertical="center" wrapText="1"/>
    </xf>
    <xf numFmtId="189" fontId="70" fillId="0" borderId="35" xfId="0" applyNumberFormat="1" applyFont="1" applyBorder="1" applyAlignment="1">
      <alignment horizontal="center" vertical="center"/>
    </xf>
    <xf numFmtId="189" fontId="70" fillId="0" borderId="28" xfId="0" applyNumberFormat="1" applyFont="1" applyBorder="1" applyAlignment="1">
      <alignment horizontal="center" vertical="center"/>
    </xf>
    <xf numFmtId="189" fontId="70" fillId="0" borderId="62" xfId="0" applyNumberFormat="1" applyFont="1" applyBorder="1" applyAlignment="1">
      <alignment horizontal="center" vertical="center" wrapText="1"/>
    </xf>
    <xf numFmtId="189" fontId="70" fillId="0" borderId="64" xfId="0" applyNumberFormat="1" applyFont="1" applyBorder="1" applyAlignment="1">
      <alignment horizontal="center" vertical="center"/>
    </xf>
    <xf numFmtId="189" fontId="70" fillId="0" borderId="36" xfId="0" applyNumberFormat="1" applyFont="1" applyBorder="1" applyAlignment="1">
      <alignment horizontal="center" vertical="center" wrapText="1"/>
    </xf>
    <xf numFmtId="39" fontId="70" fillId="0" borderId="65" xfId="0" applyNumberFormat="1" applyFont="1" applyBorder="1" applyAlignment="1">
      <alignment horizontal="center" vertical="center" wrapText="1"/>
    </xf>
    <xf numFmtId="39" fontId="70" fillId="0" borderId="23" xfId="0" applyNumberFormat="1" applyFont="1" applyBorder="1" applyAlignment="1">
      <alignment horizontal="center" vertical="center"/>
    </xf>
    <xf numFmtId="39" fontId="70" fillId="0" borderId="2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24" xfId="0" applyBorder="1" applyAlignment="1">
      <alignment wrapText="1"/>
    </xf>
    <xf numFmtId="43" fontId="0" fillId="0" borderId="15" xfId="0" applyNumberFormat="1" applyBorder="1" applyAlignment="1">
      <alignment/>
    </xf>
    <xf numFmtId="0" fontId="0" fillId="0" borderId="35" xfId="0" applyFont="1" applyBorder="1" applyAlignment="1">
      <alignment wrapText="1"/>
    </xf>
    <xf numFmtId="0" fontId="43" fillId="33" borderId="35" xfId="0" applyFont="1" applyFill="1" applyBorder="1" applyAlignment="1">
      <alignment wrapText="1"/>
    </xf>
    <xf numFmtId="43" fontId="10" fillId="33" borderId="15" xfId="0" applyNumberFormat="1" applyFont="1" applyFill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/>
    </xf>
    <xf numFmtId="0" fontId="0" fillId="0" borderId="34" xfId="0" applyBorder="1" applyAlignment="1">
      <alignment wrapText="1"/>
    </xf>
    <xf numFmtId="0" fontId="0" fillId="0" borderId="63" xfId="0" applyBorder="1" applyAlignment="1">
      <alignment wrapText="1"/>
    </xf>
    <xf numFmtId="189" fontId="1" fillId="0" borderId="43" xfId="0" applyNumberFormat="1" applyFont="1" applyBorder="1" applyAlignment="1">
      <alignment horizontal="center" vertical="center"/>
    </xf>
    <xf numFmtId="189" fontId="2" fillId="0" borderId="68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center" vertical="center" wrapText="1"/>
    </xf>
    <xf numFmtId="2" fontId="2" fillId="0" borderId="61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189" fontId="2" fillId="0" borderId="69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/>
    </xf>
    <xf numFmtId="189" fontId="20" fillId="0" borderId="15" xfId="0" applyNumberFormat="1" applyFont="1" applyBorder="1" applyAlignment="1">
      <alignment horizontal="right"/>
    </xf>
    <xf numFmtId="43" fontId="20" fillId="0" borderId="15" xfId="0" applyNumberFormat="1" applyFont="1" applyBorder="1" applyAlignment="1">
      <alignment horizontal="right"/>
    </xf>
    <xf numFmtId="189" fontId="21" fillId="0" borderId="15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89" fontId="20" fillId="0" borderId="0" xfId="0" applyNumberFormat="1" applyFont="1" applyBorder="1" applyAlignment="1">
      <alignment horizontal="right"/>
    </xf>
    <xf numFmtId="189" fontId="21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39" fontId="67" fillId="0" borderId="39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18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9" fontId="71" fillId="0" borderId="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89" fontId="71" fillId="0" borderId="15" xfId="0" applyNumberFormat="1" applyFont="1" applyBorder="1" applyAlignment="1">
      <alignment horizontal="center" vertical="center" wrapText="1"/>
    </xf>
    <xf numFmtId="39" fontId="66" fillId="0" borderId="23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10" fillId="0" borderId="7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2" fontId="2" fillId="0" borderId="53" xfId="0" applyNumberFormat="1" applyFont="1" applyBorder="1" applyAlignment="1">
      <alignment horizontal="center" vertical="center" wrapText="1"/>
    </xf>
    <xf numFmtId="189" fontId="2" fillId="0" borderId="53" xfId="0" applyNumberFormat="1" applyFont="1" applyBorder="1" applyAlignment="1">
      <alignment horizontal="center" vertical="center"/>
    </xf>
    <xf numFmtId="189" fontId="0" fillId="0" borderId="53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9" fontId="71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wrapText="1"/>
    </xf>
    <xf numFmtId="43" fontId="0" fillId="0" borderId="27" xfId="0" applyNumberFormat="1" applyBorder="1" applyAlignment="1">
      <alignment/>
    </xf>
    <xf numFmtId="43" fontId="0" fillId="0" borderId="22" xfId="0" applyNumberFormat="1" applyBorder="1" applyAlignment="1">
      <alignment/>
    </xf>
    <xf numFmtId="43" fontId="48" fillId="33" borderId="22" xfId="0" applyNumberFormat="1" applyFont="1" applyFill="1" applyBorder="1" applyAlignment="1">
      <alignment/>
    </xf>
    <xf numFmtId="43" fontId="49" fillId="0" borderId="52" xfId="0" applyNumberFormat="1" applyFont="1" applyBorder="1" applyAlignment="1">
      <alignment/>
    </xf>
    <xf numFmtId="43" fontId="0" fillId="0" borderId="68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3" fontId="0" fillId="0" borderId="56" xfId="0" applyNumberFormat="1" applyFont="1" applyBorder="1" applyAlignment="1">
      <alignment/>
    </xf>
    <xf numFmtId="43" fontId="0" fillId="0" borderId="71" xfId="0" applyNumberFormat="1" applyBorder="1" applyAlignment="1">
      <alignment/>
    </xf>
    <xf numFmtId="43" fontId="0" fillId="0" borderId="59" xfId="0" applyNumberFormat="1" applyBorder="1" applyAlignment="1">
      <alignment/>
    </xf>
    <xf numFmtId="43" fontId="10" fillId="33" borderId="71" xfId="0" applyNumberFormat="1" applyFont="1" applyFill="1" applyBorder="1" applyAlignment="1">
      <alignment/>
    </xf>
    <xf numFmtId="43" fontId="10" fillId="33" borderId="59" xfId="0" applyNumberFormat="1" applyFont="1" applyFill="1" applyBorder="1" applyAlignment="1">
      <alignment/>
    </xf>
    <xf numFmtId="43" fontId="0" fillId="0" borderId="72" xfId="0" applyNumberFormat="1" applyBorder="1" applyAlignment="1">
      <alignment/>
    </xf>
    <xf numFmtId="43" fontId="0" fillId="0" borderId="20" xfId="0" applyNumberFormat="1" applyBorder="1" applyAlignment="1">
      <alignment/>
    </xf>
    <xf numFmtId="43" fontId="0" fillId="0" borderId="31" xfId="0" applyNumberFormat="1" applyBorder="1" applyAlignment="1">
      <alignment/>
    </xf>
    <xf numFmtId="0" fontId="0" fillId="0" borderId="71" xfId="0" applyBorder="1" applyAlignment="1">
      <alignment/>
    </xf>
    <xf numFmtId="0" fontId="0" fillId="0" borderId="59" xfId="0" applyBorder="1" applyAlignment="1">
      <alignment/>
    </xf>
    <xf numFmtId="43" fontId="0" fillId="0" borderId="68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56" xfId="0" applyNumberFormat="1" applyBorder="1" applyAlignment="1">
      <alignment/>
    </xf>
    <xf numFmtId="43" fontId="0" fillId="34" borderId="71" xfId="0" applyNumberFormat="1" applyFill="1" applyBorder="1" applyAlignment="1">
      <alignment/>
    </xf>
    <xf numFmtId="43" fontId="0" fillId="34" borderId="15" xfId="0" applyNumberFormat="1" applyFill="1" applyBorder="1" applyAlignment="1">
      <alignment/>
    </xf>
    <xf numFmtId="43" fontId="0" fillId="34" borderId="59" xfId="0" applyNumberFormat="1" applyFill="1" applyBorder="1" applyAlignment="1">
      <alignment/>
    </xf>
    <xf numFmtId="0" fontId="3" fillId="0" borderId="43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0" fillId="0" borderId="40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54" xfId="0" applyBorder="1" applyAlignment="1">
      <alignment wrapText="1"/>
    </xf>
    <xf numFmtId="189" fontId="20" fillId="0" borderId="40" xfId="0" applyNumberFormat="1" applyFont="1" applyBorder="1" applyAlignment="1">
      <alignment horizontal="right"/>
    </xf>
    <xf numFmtId="0" fontId="0" fillId="0" borderId="54" xfId="0" applyBorder="1" applyAlignment="1">
      <alignment horizontal="right"/>
    </xf>
    <xf numFmtId="0" fontId="15" fillId="0" borderId="4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0" fillId="0" borderId="55" xfId="0" applyNumberFormat="1" applyBorder="1" applyAlignment="1">
      <alignment horizontal="center" vertical="center" wrapText="1"/>
    </xf>
    <xf numFmtId="0" fontId="20" fillId="0" borderId="40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54" xfId="0" applyFont="1" applyBorder="1" applyAlignment="1">
      <alignment/>
    </xf>
    <xf numFmtId="0" fontId="10" fillId="0" borderId="4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0" fillId="0" borderId="54" xfId="0" applyFont="1" applyBorder="1" applyAlignment="1">
      <alignment horizontal="right"/>
    </xf>
    <xf numFmtId="0" fontId="20" fillId="0" borderId="40" xfId="0" applyFont="1" applyBorder="1" applyAlignment="1">
      <alignment horizontal="right"/>
    </xf>
    <xf numFmtId="0" fontId="20" fillId="0" borderId="22" xfId="0" applyFont="1" applyBorder="1" applyAlignment="1">
      <alignment wrapText="1"/>
    </xf>
    <xf numFmtId="0" fontId="20" fillId="0" borderId="54" xfId="0" applyFont="1" applyBorder="1" applyAlignment="1">
      <alignment wrapText="1"/>
    </xf>
    <xf numFmtId="189" fontId="70" fillId="0" borderId="36" xfId="0" applyNumberFormat="1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38" xfId="0" applyFont="1" applyBorder="1" applyAlignment="1">
      <alignment horizontal="center" vertical="center" wrapText="1"/>
    </xf>
    <xf numFmtId="189" fontId="2" fillId="0" borderId="36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89" fontId="67" fillId="0" borderId="73" xfId="0" applyNumberFormat="1" applyFont="1" applyBorder="1" applyAlignment="1">
      <alignment horizontal="center" vertical="center" wrapText="1"/>
    </xf>
    <xf numFmtId="0" fontId="73" fillId="0" borderId="60" xfId="0" applyFont="1" applyBorder="1" applyAlignment="1">
      <alignment horizontal="center" vertical="center" wrapText="1"/>
    </xf>
    <xf numFmtId="0" fontId="73" fillId="0" borderId="74" xfId="0" applyFont="1" applyBorder="1" applyAlignment="1">
      <alignment horizontal="center" vertical="center" wrapText="1"/>
    </xf>
    <xf numFmtId="189" fontId="2" fillId="0" borderId="75" xfId="0" applyNumberFormat="1" applyFont="1" applyBorder="1" applyAlignment="1">
      <alignment horizontal="center" vertical="center" wrapText="1"/>
    </xf>
    <xf numFmtId="189" fontId="0" fillId="0" borderId="16" xfId="0" applyNumberFormat="1" applyFont="1" applyBorder="1" applyAlignment="1">
      <alignment horizontal="center" vertical="center" wrapText="1"/>
    </xf>
    <xf numFmtId="189" fontId="0" fillId="0" borderId="17" xfId="0" applyNumberFormat="1" applyFont="1" applyBorder="1" applyAlignment="1">
      <alignment horizontal="center" vertical="center" wrapText="1"/>
    </xf>
    <xf numFmtId="2" fontId="67" fillId="0" borderId="73" xfId="0" applyNumberFormat="1" applyFont="1" applyBorder="1" applyAlignment="1">
      <alignment horizontal="center" vertical="center" wrapText="1"/>
    </xf>
    <xf numFmtId="0" fontId="67" fillId="0" borderId="60" xfId="0" applyFont="1" applyBorder="1" applyAlignment="1">
      <alignment horizontal="center" vertical="center" wrapText="1"/>
    </xf>
    <xf numFmtId="0" fontId="67" fillId="0" borderId="7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2" fontId="2" fillId="0" borderId="7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9" fontId="2" fillId="0" borderId="75" xfId="0" applyNumberFormat="1" applyFont="1" applyBorder="1" applyAlignment="1">
      <alignment horizontal="center" vertical="center"/>
    </xf>
    <xf numFmtId="189" fontId="0" fillId="0" borderId="16" xfId="0" applyNumberFormat="1" applyBorder="1" applyAlignment="1">
      <alignment horizontal="center" vertical="center"/>
    </xf>
    <xf numFmtId="189" fontId="0" fillId="0" borderId="17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71" xfId="0" applyNumberFormat="1" applyFont="1" applyBorder="1" applyAlignment="1">
      <alignment horizontal="center" vertical="center" wrapText="1"/>
    </xf>
    <xf numFmtId="2" fontId="2" fillId="0" borderId="76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43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1" fillId="0" borderId="64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89" fontId="70" fillId="0" borderId="65" xfId="0" applyNumberFormat="1" applyFont="1" applyBorder="1" applyAlignment="1">
      <alignment horizontal="center" vertical="center" wrapText="1"/>
    </xf>
    <xf numFmtId="189" fontId="70" fillId="0" borderId="51" xfId="0" applyNumberFormat="1" applyFont="1" applyBorder="1" applyAlignment="1">
      <alignment horizontal="center" vertical="center" wrapText="1"/>
    </xf>
    <xf numFmtId="189" fontId="74" fillId="0" borderId="51" xfId="0" applyNumberFormat="1" applyFont="1" applyBorder="1" applyAlignment="1">
      <alignment horizontal="center" vertical="center" wrapText="1"/>
    </xf>
    <xf numFmtId="189" fontId="74" fillId="0" borderId="4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9" fontId="2" fillId="0" borderId="16" xfId="0" applyNumberFormat="1" applyFont="1" applyBorder="1" applyAlignment="1">
      <alignment horizontal="center" vertical="center"/>
    </xf>
    <xf numFmtId="189" fontId="2" fillId="0" borderId="17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2" fontId="2" fillId="0" borderId="81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189" fontId="2" fillId="0" borderId="82" xfId="0" applyNumberFormat="1" applyFont="1" applyBorder="1" applyAlignment="1">
      <alignment horizontal="center" vertical="center"/>
    </xf>
    <xf numFmtId="189" fontId="0" fillId="0" borderId="18" xfId="0" applyNumberFormat="1" applyBorder="1" applyAlignment="1">
      <alignment horizontal="center" vertical="center"/>
    </xf>
    <xf numFmtId="189" fontId="0" fillId="0" borderId="19" xfId="0" applyNumberFormat="1" applyBorder="1" applyAlignment="1">
      <alignment horizontal="center" vertical="center"/>
    </xf>
    <xf numFmtId="4" fontId="70" fillId="0" borderId="60" xfId="0" applyNumberFormat="1" applyFont="1" applyBorder="1" applyAlignment="1">
      <alignment horizontal="center" vertical="center" wrapText="1"/>
    </xf>
    <xf numFmtId="0" fontId="70" fillId="0" borderId="60" xfId="0" applyFont="1" applyBorder="1" applyAlignment="1">
      <alignment horizontal="center" vertical="center" wrapText="1"/>
    </xf>
    <xf numFmtId="189" fontId="2" fillId="0" borderId="18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2" fontId="2" fillId="0" borderId="75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189" fontId="2" fillId="0" borderId="16" xfId="0" applyNumberFormat="1" applyFont="1" applyBorder="1" applyAlignment="1">
      <alignment horizontal="center" vertical="center"/>
    </xf>
    <xf numFmtId="189" fontId="67" fillId="0" borderId="51" xfId="0" applyNumberFormat="1" applyFont="1" applyBorder="1" applyAlignment="1">
      <alignment horizontal="center" vertical="center" wrapText="1"/>
    </xf>
    <xf numFmtId="189" fontId="67" fillId="0" borderId="41" xfId="0" applyNumberFormat="1" applyFont="1" applyBorder="1" applyAlignment="1">
      <alignment horizontal="center" vertical="center" wrapText="1"/>
    </xf>
    <xf numFmtId="189" fontId="67" fillId="0" borderId="60" xfId="0" applyNumberFormat="1" applyFont="1" applyBorder="1" applyAlignment="1">
      <alignment horizontal="center" vertical="center" wrapText="1"/>
    </xf>
    <xf numFmtId="2" fontId="2" fillId="0" borderId="46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2" fontId="2" fillId="0" borderId="83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189" fontId="2" fillId="0" borderId="17" xfId="0" applyNumberFormat="1" applyFont="1" applyBorder="1" applyAlignment="1">
      <alignment horizontal="center" vertical="center"/>
    </xf>
    <xf numFmtId="189" fontId="2" fillId="0" borderId="58" xfId="0" applyNumberFormat="1" applyFont="1" applyBorder="1" applyAlignment="1">
      <alignment horizontal="center" vertical="center"/>
    </xf>
    <xf numFmtId="189" fontId="2" fillId="0" borderId="40" xfId="0" applyNumberFormat="1" applyFont="1" applyBorder="1" applyAlignment="1">
      <alignment horizontal="center" vertical="center"/>
    </xf>
    <xf numFmtId="189" fontId="2" fillId="0" borderId="14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189" fontId="2" fillId="0" borderId="75" xfId="0" applyNumberFormat="1" applyFont="1" applyBorder="1" applyAlignment="1">
      <alignment horizontal="center" vertical="center"/>
    </xf>
    <xf numFmtId="189" fontId="2" fillId="0" borderId="73" xfId="0" applyNumberFormat="1" applyFont="1" applyBorder="1" applyAlignment="1">
      <alignment horizontal="center" vertical="center"/>
    </xf>
    <xf numFmtId="189" fontId="0" fillId="0" borderId="60" xfId="0" applyNumberFormat="1" applyBorder="1" applyAlignment="1">
      <alignment horizontal="center" vertical="center"/>
    </xf>
    <xf numFmtId="189" fontId="0" fillId="0" borderId="74" xfId="0" applyNumberForma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189" fontId="2" fillId="0" borderId="16" xfId="0" applyNumberFormat="1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39" fontId="13" fillId="0" borderId="36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4" fillId="35" borderId="77" xfId="0" applyFont="1" applyFill="1" applyBorder="1" applyAlignment="1">
      <alignment horizontal="center" vertical="center" wrapText="1"/>
    </xf>
    <xf numFmtId="0" fontId="0" fillId="35" borderId="78" xfId="0" applyFill="1" applyBorder="1" applyAlignment="1">
      <alignment horizontal="center" vertical="center" wrapText="1"/>
    </xf>
    <xf numFmtId="2" fontId="3" fillId="0" borderId="77" xfId="0" applyNumberFormat="1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6"/>
  <sheetViews>
    <sheetView tabSelected="1" zoomScalePageLayoutView="0" workbookViewId="0" topLeftCell="A43">
      <selection activeCell="O52" sqref="O52"/>
    </sheetView>
  </sheetViews>
  <sheetFormatPr defaultColWidth="9.140625" defaultRowHeight="12.75"/>
  <cols>
    <col min="1" max="1" width="3.140625" style="0" customWidth="1"/>
    <col min="2" max="2" width="10.28125" style="0" customWidth="1"/>
    <col min="3" max="3" width="8.00390625" style="0" customWidth="1"/>
    <col min="4" max="4" width="6.8515625" style="0" customWidth="1"/>
    <col min="5" max="5" width="7.00390625" style="0" customWidth="1"/>
    <col min="6" max="6" width="9.8515625" style="0" customWidth="1"/>
    <col min="7" max="7" width="9.421875" style="0" customWidth="1"/>
    <col min="8" max="8" width="8.28125" style="0" customWidth="1"/>
    <col min="9" max="9" width="11.00390625" style="0" customWidth="1"/>
    <col min="10" max="10" width="12.00390625" style="0" customWidth="1"/>
    <col min="11" max="11" width="18.140625" style="0" customWidth="1"/>
    <col min="12" max="12" width="16.00390625" style="0" customWidth="1"/>
    <col min="13" max="13" width="13.140625" style="0" customWidth="1"/>
    <col min="14" max="14" width="14.140625" style="0" customWidth="1"/>
  </cols>
  <sheetData>
    <row r="1" ht="12.75">
      <c r="I1" t="s">
        <v>17</v>
      </c>
    </row>
    <row r="2" ht="12.75">
      <c r="I2" s="117" t="s">
        <v>134</v>
      </c>
    </row>
    <row r="3" ht="12.75">
      <c r="I3" t="s">
        <v>94</v>
      </c>
    </row>
    <row r="5" spans="1:14" ht="40.5" customHeight="1">
      <c r="A5" s="368" t="s">
        <v>169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2"/>
    </row>
    <row r="6" spans="1:14" ht="17.25" customHeight="1">
      <c r="A6" s="238"/>
      <c r="B6" s="292" t="s">
        <v>138</v>
      </c>
      <c r="C6" s="293"/>
      <c r="D6" s="293"/>
      <c r="E6" s="239"/>
      <c r="F6" s="239" t="s">
        <v>137</v>
      </c>
      <c r="G6" s="238"/>
      <c r="H6" s="238"/>
      <c r="I6" s="238"/>
      <c r="J6" s="238"/>
      <c r="K6" s="238"/>
      <c r="L6" s="238"/>
      <c r="M6" s="238"/>
      <c r="N6" s="2"/>
    </row>
    <row r="7" spans="1:14" ht="24" customHeight="1">
      <c r="A7" s="238"/>
      <c r="B7" s="291" t="s">
        <v>59</v>
      </c>
      <c r="C7" s="291"/>
      <c r="D7" s="291"/>
      <c r="E7" s="239"/>
      <c r="F7" s="240">
        <v>15759.4</v>
      </c>
      <c r="G7" s="238"/>
      <c r="H7" s="238"/>
      <c r="I7" s="238"/>
      <c r="J7" s="238"/>
      <c r="K7" s="238"/>
      <c r="L7" s="238"/>
      <c r="M7" s="238"/>
      <c r="N7" s="2"/>
    </row>
    <row r="8" spans="1:14" ht="21" customHeight="1">
      <c r="A8" s="238"/>
      <c r="B8" s="291" t="s">
        <v>29</v>
      </c>
      <c r="C8" s="291"/>
      <c r="D8" s="291"/>
      <c r="E8" s="239"/>
      <c r="F8" s="240">
        <v>3214.5</v>
      </c>
      <c r="G8" s="238"/>
      <c r="H8" s="238"/>
      <c r="I8" s="238"/>
      <c r="J8" s="238"/>
      <c r="K8" s="238"/>
      <c r="L8" s="238"/>
      <c r="M8" s="238"/>
      <c r="N8" s="2"/>
    </row>
    <row r="9" spans="1:14" ht="23.25" customHeight="1">
      <c r="A9" s="238"/>
      <c r="B9" s="291" t="s">
        <v>63</v>
      </c>
      <c r="C9" s="291"/>
      <c r="D9" s="291"/>
      <c r="E9" s="239"/>
      <c r="F9" s="240">
        <v>281.7</v>
      </c>
      <c r="G9" s="238"/>
      <c r="H9" s="238"/>
      <c r="I9" s="238"/>
      <c r="J9" s="238"/>
      <c r="K9" s="238"/>
      <c r="L9" s="238"/>
      <c r="M9" s="238"/>
      <c r="N9" s="2"/>
    </row>
    <row r="10" spans="1:14" ht="23.25" customHeight="1">
      <c r="A10" s="238"/>
      <c r="B10" s="294" t="s">
        <v>44</v>
      </c>
      <c r="C10" s="295"/>
      <c r="D10" s="296"/>
      <c r="E10" s="239"/>
      <c r="F10" s="239">
        <f>F7+F8+F9</f>
        <v>19255.600000000002</v>
      </c>
      <c r="G10" s="238"/>
      <c r="H10" s="238"/>
      <c r="I10" s="238"/>
      <c r="J10" s="238"/>
      <c r="K10" s="238"/>
      <c r="L10" s="238"/>
      <c r="M10" s="238"/>
      <c r="N10" s="2"/>
    </row>
    <row r="11" spans="1:14" ht="21" customHeight="1" thickBot="1">
      <c r="A11" s="4"/>
      <c r="B11" s="10"/>
      <c r="C11" s="5"/>
      <c r="D11" s="5"/>
      <c r="E11" s="5"/>
      <c r="F11" s="9"/>
      <c r="G11" s="9"/>
      <c r="H11" s="9"/>
      <c r="I11" s="9"/>
      <c r="J11" s="9"/>
      <c r="K11" s="4"/>
      <c r="L11" s="4"/>
      <c r="M11" s="5"/>
      <c r="N11" s="47"/>
    </row>
    <row r="12" spans="1:15" ht="12.75" customHeight="1">
      <c r="A12" s="369" t="s">
        <v>5</v>
      </c>
      <c r="B12" s="371" t="s">
        <v>6</v>
      </c>
      <c r="C12" s="373" t="s">
        <v>15</v>
      </c>
      <c r="D12" s="375" t="s">
        <v>28</v>
      </c>
      <c r="E12" s="375" t="s">
        <v>56</v>
      </c>
      <c r="F12" s="379" t="s">
        <v>8</v>
      </c>
      <c r="G12" s="379"/>
      <c r="H12" s="380"/>
      <c r="I12" s="381"/>
      <c r="J12" s="39"/>
      <c r="K12" s="371" t="s">
        <v>7</v>
      </c>
      <c r="L12" s="380"/>
      <c r="M12" s="383" t="s">
        <v>26</v>
      </c>
      <c r="N12" s="411" t="s">
        <v>93</v>
      </c>
      <c r="O12" s="7"/>
    </row>
    <row r="13" spans="1:14" s="1" customFormat="1" ht="18" customHeight="1" thickBot="1">
      <c r="A13" s="370"/>
      <c r="B13" s="372"/>
      <c r="C13" s="374"/>
      <c r="D13" s="376"/>
      <c r="E13" s="376"/>
      <c r="F13" s="28" t="s">
        <v>57</v>
      </c>
      <c r="G13" s="28" t="s">
        <v>16</v>
      </c>
      <c r="H13" s="102" t="s">
        <v>56</v>
      </c>
      <c r="I13" s="48" t="s">
        <v>27</v>
      </c>
      <c r="J13" s="49" t="s">
        <v>88</v>
      </c>
      <c r="K13" s="372"/>
      <c r="L13" s="382"/>
      <c r="M13" s="384"/>
      <c r="N13" s="412"/>
    </row>
    <row r="14" spans="1:16" ht="72" customHeight="1">
      <c r="A14" s="400" t="s">
        <v>0</v>
      </c>
      <c r="B14" s="361" t="s">
        <v>46</v>
      </c>
      <c r="C14" s="225">
        <f>M26/F10</f>
        <v>8.034286129749267</v>
      </c>
      <c r="D14" s="222">
        <f>M26/F10</f>
        <v>8.034286129749267</v>
      </c>
      <c r="E14" s="222">
        <f>M26/F10</f>
        <v>8.034286129749267</v>
      </c>
      <c r="F14" s="34">
        <f>C14*F7</f>
        <v>126615.5288331706</v>
      </c>
      <c r="G14" s="34">
        <f>D14*F8</f>
        <v>25826.21276407902</v>
      </c>
      <c r="H14" s="34">
        <f>E14*F9</f>
        <v>2263.2584027503685</v>
      </c>
      <c r="I14" s="78">
        <f>F14+G14+H14</f>
        <v>154704.99999999997</v>
      </c>
      <c r="J14" s="52"/>
      <c r="K14" s="387" t="s">
        <v>19</v>
      </c>
      <c r="L14" s="388"/>
      <c r="M14" s="42"/>
      <c r="N14" s="58"/>
      <c r="O14" s="22"/>
      <c r="P14" s="26"/>
    </row>
    <row r="15" spans="1:16" ht="30.75" customHeight="1">
      <c r="A15" s="312"/>
      <c r="B15" s="385"/>
      <c r="C15" s="180"/>
      <c r="D15" s="180"/>
      <c r="E15" s="181"/>
      <c r="F15" s="57"/>
      <c r="G15" s="57"/>
      <c r="H15" s="167"/>
      <c r="I15" s="169"/>
      <c r="J15" s="54"/>
      <c r="K15" s="290" t="s">
        <v>97</v>
      </c>
      <c r="L15" s="284"/>
      <c r="M15" s="95">
        <v>8200</v>
      </c>
      <c r="N15" s="64">
        <f aca="true" t="shared" si="0" ref="N15:N25">M15*12</f>
        <v>98400</v>
      </c>
      <c r="O15" s="22"/>
      <c r="P15" s="26"/>
    </row>
    <row r="16" spans="1:16" ht="22.5" customHeight="1">
      <c r="A16" s="312"/>
      <c r="B16" s="385"/>
      <c r="C16" s="180"/>
      <c r="D16" s="180"/>
      <c r="E16" s="181"/>
      <c r="F16" s="57"/>
      <c r="G16" s="57"/>
      <c r="H16" s="167"/>
      <c r="I16" s="169"/>
      <c r="J16" s="54"/>
      <c r="K16" s="290" t="s">
        <v>157</v>
      </c>
      <c r="L16" s="284"/>
      <c r="M16" s="95">
        <v>12415</v>
      </c>
      <c r="N16" s="64">
        <f>M16*12</f>
        <v>148980</v>
      </c>
      <c r="O16" s="22"/>
      <c r="P16" s="26"/>
    </row>
    <row r="17" spans="1:16" ht="34.5" customHeight="1">
      <c r="A17" s="312"/>
      <c r="B17" s="385"/>
      <c r="C17" s="182"/>
      <c r="D17" s="157"/>
      <c r="E17" s="157"/>
      <c r="F17" s="137"/>
      <c r="G17" s="137"/>
      <c r="H17" s="168"/>
      <c r="I17" s="170"/>
      <c r="J17" s="53"/>
      <c r="K17" s="290" t="s">
        <v>158</v>
      </c>
      <c r="L17" s="284"/>
      <c r="M17" s="95">
        <v>10000</v>
      </c>
      <c r="N17" s="64">
        <f t="shared" si="0"/>
        <v>120000</v>
      </c>
      <c r="O17" s="22"/>
      <c r="P17" s="26"/>
    </row>
    <row r="18" spans="1:16" ht="16.5" customHeight="1">
      <c r="A18" s="312"/>
      <c r="B18" s="385"/>
      <c r="C18" s="182"/>
      <c r="D18" s="157"/>
      <c r="E18" s="157"/>
      <c r="F18" s="137"/>
      <c r="G18" s="137"/>
      <c r="H18" s="168"/>
      <c r="I18" s="170"/>
      <c r="J18" s="53"/>
      <c r="K18" s="290" t="s">
        <v>20</v>
      </c>
      <c r="L18" s="284"/>
      <c r="M18" s="95">
        <v>0</v>
      </c>
      <c r="N18" s="64">
        <f t="shared" si="0"/>
        <v>0</v>
      </c>
      <c r="O18" s="22"/>
      <c r="P18" s="26"/>
    </row>
    <row r="19" spans="1:16" ht="16.5" customHeight="1">
      <c r="A19" s="312"/>
      <c r="B19" s="385"/>
      <c r="C19" s="182"/>
      <c r="D19" s="157"/>
      <c r="E19" s="157"/>
      <c r="F19" s="137"/>
      <c r="G19" s="137"/>
      <c r="H19" s="168"/>
      <c r="I19" s="170"/>
      <c r="J19" s="53"/>
      <c r="K19" s="290" t="s">
        <v>30</v>
      </c>
      <c r="L19" s="284"/>
      <c r="M19" s="95">
        <v>1500</v>
      </c>
      <c r="N19" s="64">
        <f t="shared" si="0"/>
        <v>18000</v>
      </c>
      <c r="O19" s="22"/>
      <c r="P19" s="26"/>
    </row>
    <row r="20" spans="1:21" ht="24.75" customHeight="1">
      <c r="A20" s="312"/>
      <c r="B20" s="385"/>
      <c r="C20" s="182"/>
      <c r="D20" s="157"/>
      <c r="E20" s="157"/>
      <c r="F20" s="137"/>
      <c r="G20" s="137"/>
      <c r="H20" s="168"/>
      <c r="I20" s="170"/>
      <c r="J20" s="53"/>
      <c r="K20" s="290" t="s">
        <v>90</v>
      </c>
      <c r="L20" s="284"/>
      <c r="M20" s="95">
        <v>0</v>
      </c>
      <c r="N20" s="64">
        <f t="shared" si="0"/>
        <v>0</v>
      </c>
      <c r="O20" s="22"/>
      <c r="P20" s="26"/>
      <c r="Q20" s="346"/>
      <c r="R20" s="347"/>
      <c r="S20" s="347"/>
      <c r="T20" s="183"/>
      <c r="U20" s="30"/>
    </row>
    <row r="21" spans="1:16" ht="20.25" customHeight="1">
      <c r="A21" s="312"/>
      <c r="B21" s="385"/>
      <c r="C21" s="182"/>
      <c r="D21" s="157"/>
      <c r="E21" s="157"/>
      <c r="F21" s="137"/>
      <c r="G21" s="137"/>
      <c r="H21" s="168"/>
      <c r="I21" s="170"/>
      <c r="J21" s="53"/>
      <c r="K21" s="290" t="s">
        <v>145</v>
      </c>
      <c r="L21" s="284"/>
      <c r="M21" s="95">
        <v>45000</v>
      </c>
      <c r="N21" s="64">
        <f t="shared" si="0"/>
        <v>540000</v>
      </c>
      <c r="O21" s="22"/>
      <c r="P21" s="26"/>
    </row>
    <row r="22" spans="1:16" ht="18.75" customHeight="1">
      <c r="A22" s="312"/>
      <c r="B22" s="385"/>
      <c r="C22" s="182"/>
      <c r="D22" s="157"/>
      <c r="E22" s="157"/>
      <c r="F22" s="137"/>
      <c r="G22" s="137"/>
      <c r="H22" s="168"/>
      <c r="I22" s="170"/>
      <c r="J22" s="53"/>
      <c r="K22" s="290" t="s">
        <v>140</v>
      </c>
      <c r="L22" s="284"/>
      <c r="M22" s="95">
        <f>M21*0.302</f>
        <v>13590</v>
      </c>
      <c r="N22" s="64">
        <f t="shared" si="0"/>
        <v>163080</v>
      </c>
      <c r="O22" s="22"/>
      <c r="P22" s="26"/>
    </row>
    <row r="23" spans="1:16" ht="18.75" customHeight="1">
      <c r="A23" s="312"/>
      <c r="B23" s="385"/>
      <c r="C23" s="182"/>
      <c r="D23" s="157"/>
      <c r="E23" s="157"/>
      <c r="F23" s="137"/>
      <c r="G23" s="137"/>
      <c r="H23" s="171"/>
      <c r="I23" s="172"/>
      <c r="J23" s="53"/>
      <c r="K23" s="290" t="s">
        <v>21</v>
      </c>
      <c r="L23" s="284"/>
      <c r="M23" s="95">
        <v>34000</v>
      </c>
      <c r="N23" s="64">
        <f t="shared" si="0"/>
        <v>408000</v>
      </c>
      <c r="O23" s="22"/>
      <c r="P23" s="26"/>
    </row>
    <row r="24" spans="1:15" ht="20.25" customHeight="1">
      <c r="A24" s="312"/>
      <c r="B24" s="385"/>
      <c r="C24" s="180"/>
      <c r="D24" s="181"/>
      <c r="E24" s="181"/>
      <c r="F24" s="57"/>
      <c r="G24" s="57"/>
      <c r="H24" s="173"/>
      <c r="I24" s="174"/>
      <c r="J24" s="54"/>
      <c r="K24" s="290" t="s">
        <v>166</v>
      </c>
      <c r="L24" s="325"/>
      <c r="M24" s="96">
        <v>0</v>
      </c>
      <c r="N24" s="66">
        <f t="shared" si="0"/>
        <v>0</v>
      </c>
      <c r="O24" s="22"/>
    </row>
    <row r="25" spans="1:15" ht="21" customHeight="1" thickBot="1">
      <c r="A25" s="312"/>
      <c r="B25" s="385"/>
      <c r="C25" s="180"/>
      <c r="D25" s="181"/>
      <c r="E25" s="181"/>
      <c r="F25" s="57"/>
      <c r="G25" s="57"/>
      <c r="H25" s="175"/>
      <c r="I25" s="176"/>
      <c r="J25" s="54"/>
      <c r="K25" s="290" t="s">
        <v>10</v>
      </c>
      <c r="L25" s="284"/>
      <c r="M25" s="95">
        <v>30000</v>
      </c>
      <c r="N25" s="64">
        <f t="shared" si="0"/>
        <v>360000</v>
      </c>
      <c r="O25" s="22"/>
    </row>
    <row r="26" spans="1:15" ht="26.25" customHeight="1" thickBot="1">
      <c r="A26" s="312"/>
      <c r="B26" s="386"/>
      <c r="C26" s="177"/>
      <c r="D26" s="149"/>
      <c r="E26" s="149"/>
      <c r="F26" s="132"/>
      <c r="G26" s="178"/>
      <c r="H26" s="178"/>
      <c r="I26" s="179"/>
      <c r="J26" s="187">
        <f>I14*12</f>
        <v>1856459.9999999995</v>
      </c>
      <c r="K26" s="349"/>
      <c r="L26" s="350"/>
      <c r="M26" s="191">
        <f>M15+M16+M17+M18+M19+M20+M21+M22+M23+M24+M25</f>
        <v>154705</v>
      </c>
      <c r="N26" s="191">
        <f>SUM(N15:N25)</f>
        <v>1856460</v>
      </c>
      <c r="O26" s="22"/>
    </row>
    <row r="27" spans="1:15" ht="26.25" customHeight="1">
      <c r="A27" s="400" t="s">
        <v>34</v>
      </c>
      <c r="B27" s="361" t="s">
        <v>79</v>
      </c>
      <c r="C27" s="225">
        <f>M31/F10</f>
        <v>12.619705436340595</v>
      </c>
      <c r="D27" s="222">
        <f>M31/F10</f>
        <v>12.619705436340595</v>
      </c>
      <c r="E27" s="222">
        <f>M31/F10</f>
        <v>12.619705436340595</v>
      </c>
      <c r="F27" s="34">
        <f>C27*F7</f>
        <v>198878.98585346597</v>
      </c>
      <c r="G27" s="144">
        <f>D27*F8</f>
        <v>40566.04312511684</v>
      </c>
      <c r="H27" s="144">
        <f>E27*F9</f>
        <v>3554.9710214171455</v>
      </c>
      <c r="I27" s="145">
        <f>F27+G27+H27</f>
        <v>242999.99999999997</v>
      </c>
      <c r="J27" s="52"/>
      <c r="K27" s="135"/>
      <c r="L27" s="136"/>
      <c r="M27" s="185"/>
      <c r="N27" s="186"/>
      <c r="O27" s="22"/>
    </row>
    <row r="28" spans="1:15" ht="23.25" customHeight="1">
      <c r="A28" s="312"/>
      <c r="B28" s="324"/>
      <c r="C28" s="146"/>
      <c r="D28" s="156"/>
      <c r="E28" s="156"/>
      <c r="F28" s="131"/>
      <c r="G28" s="18"/>
      <c r="H28" s="18"/>
      <c r="I28" s="134"/>
      <c r="J28" s="139"/>
      <c r="K28" s="344" t="s">
        <v>92</v>
      </c>
      <c r="L28" s="345"/>
      <c r="M28" s="91">
        <v>240000</v>
      </c>
      <c r="N28" s="164">
        <f>M28*12</f>
        <v>2880000</v>
      </c>
      <c r="O28" s="22"/>
    </row>
    <row r="29" spans="1:15" ht="19.5" customHeight="1">
      <c r="A29" s="312"/>
      <c r="B29" s="324"/>
      <c r="C29" s="147"/>
      <c r="D29" s="157"/>
      <c r="E29" s="157"/>
      <c r="F29" s="137"/>
      <c r="G29" s="15"/>
      <c r="H29" s="15"/>
      <c r="I29" s="138"/>
      <c r="J29" s="139"/>
      <c r="K29" s="457" t="s">
        <v>141</v>
      </c>
      <c r="L29" s="458"/>
      <c r="M29" s="140">
        <v>3000</v>
      </c>
      <c r="N29" s="165">
        <f>M29*12</f>
        <v>36000</v>
      </c>
      <c r="O29" s="22"/>
    </row>
    <row r="30" spans="1:15" ht="21.75" customHeight="1" thickBot="1">
      <c r="A30" s="312"/>
      <c r="B30" s="324"/>
      <c r="C30" s="147"/>
      <c r="D30" s="157"/>
      <c r="E30" s="157"/>
      <c r="F30" s="137"/>
      <c r="G30" s="15"/>
      <c r="H30" s="15"/>
      <c r="I30" s="141"/>
      <c r="J30" s="143"/>
      <c r="K30" s="459"/>
      <c r="L30" s="460"/>
      <c r="M30" s="142"/>
      <c r="N30" s="166"/>
      <c r="O30" s="22"/>
    </row>
    <row r="31" spans="1:15" ht="25.5" customHeight="1" thickBot="1">
      <c r="A31" s="313"/>
      <c r="B31" s="362"/>
      <c r="C31" s="51"/>
      <c r="D31" s="149"/>
      <c r="E31" s="149"/>
      <c r="F31" s="132"/>
      <c r="G31" s="19"/>
      <c r="H31" s="19"/>
      <c r="I31" s="59"/>
      <c r="J31" s="189">
        <f>I27*12</f>
        <v>2915999.9999999995</v>
      </c>
      <c r="K31" s="456"/>
      <c r="L31" s="350"/>
      <c r="M31" s="88">
        <f>M28+M29+M30</f>
        <v>243000</v>
      </c>
      <c r="N31" s="188">
        <f>N28+N29+N30</f>
        <v>2916000</v>
      </c>
      <c r="O31" s="22"/>
    </row>
    <row r="32" spans="1:15" ht="116.25" customHeight="1" thickBot="1">
      <c r="A32" s="389" t="s">
        <v>1</v>
      </c>
      <c r="B32" s="385" t="s">
        <v>47</v>
      </c>
      <c r="C32" s="223">
        <f>M42/F10</f>
        <v>15.809946197469825</v>
      </c>
      <c r="D32" s="224">
        <f>M42/F10</f>
        <v>15.809946197469825</v>
      </c>
      <c r="E32" s="224">
        <f>M42/F10</f>
        <v>15.809946197469825</v>
      </c>
      <c r="F32" s="57">
        <f>C32*F7</f>
        <v>249155.26610440595</v>
      </c>
      <c r="G32" s="57">
        <f>D32*F8</f>
        <v>50821.07205176675</v>
      </c>
      <c r="H32" s="57">
        <f>E32*F9</f>
        <v>4453.66184382725</v>
      </c>
      <c r="I32" s="148">
        <f>F32+G32+H32</f>
        <v>304429.99999999994</v>
      </c>
      <c r="J32" s="133"/>
      <c r="K32" s="377" t="s">
        <v>99</v>
      </c>
      <c r="L32" s="378"/>
      <c r="M32" s="43"/>
      <c r="N32" s="83"/>
      <c r="O32" s="22"/>
    </row>
    <row r="33" spans="1:15" ht="19.5" customHeight="1">
      <c r="A33" s="312"/>
      <c r="B33" s="385"/>
      <c r="C33" s="111"/>
      <c r="D33" s="21"/>
      <c r="E33" s="21"/>
      <c r="F33" s="18"/>
      <c r="G33" s="23"/>
      <c r="H33" s="23"/>
      <c r="I33" s="14"/>
      <c r="J33" s="56"/>
      <c r="K33" s="290" t="s">
        <v>13</v>
      </c>
      <c r="L33" s="284"/>
      <c r="M33" s="44">
        <v>10000</v>
      </c>
      <c r="N33" s="64">
        <f aca="true" t="shared" si="1" ref="N33:N40">M33*12</f>
        <v>120000</v>
      </c>
      <c r="O33" s="22"/>
    </row>
    <row r="34" spans="1:14" ht="19.5" customHeight="1">
      <c r="A34" s="312"/>
      <c r="B34" s="385"/>
      <c r="C34" s="111"/>
      <c r="D34" s="21"/>
      <c r="E34" s="21"/>
      <c r="F34" s="18"/>
      <c r="G34" s="23"/>
      <c r="H34" s="23"/>
      <c r="I34" s="74"/>
      <c r="J34" s="55"/>
      <c r="K34" s="348" t="s">
        <v>37</v>
      </c>
      <c r="L34" s="284"/>
      <c r="M34" s="44">
        <v>200000</v>
      </c>
      <c r="N34" s="64">
        <f t="shared" si="1"/>
        <v>2400000</v>
      </c>
    </row>
    <row r="35" spans="1:14" ht="19.5" customHeight="1">
      <c r="A35" s="312"/>
      <c r="B35" s="385"/>
      <c r="C35" s="111"/>
      <c r="D35" s="21"/>
      <c r="E35" s="21"/>
      <c r="F35" s="18"/>
      <c r="G35" s="23"/>
      <c r="H35" s="23"/>
      <c r="I35" s="74"/>
      <c r="J35" s="55"/>
      <c r="K35" s="348" t="s">
        <v>22</v>
      </c>
      <c r="L35" s="284"/>
      <c r="M35" s="44">
        <v>8150</v>
      </c>
      <c r="N35" s="64">
        <f t="shared" si="1"/>
        <v>97800</v>
      </c>
    </row>
    <row r="36" spans="1:14" s="17" customFormat="1" ht="21.75" customHeight="1">
      <c r="A36" s="312"/>
      <c r="B36" s="385"/>
      <c r="C36" s="111"/>
      <c r="D36" s="21"/>
      <c r="E36" s="21"/>
      <c r="F36" s="18"/>
      <c r="G36" s="23"/>
      <c r="H36" s="23"/>
      <c r="I36" s="74"/>
      <c r="J36" s="55"/>
      <c r="K36" s="348" t="s">
        <v>38</v>
      </c>
      <c r="L36" s="284"/>
      <c r="M36" s="61">
        <v>35000</v>
      </c>
      <c r="N36" s="65">
        <f t="shared" si="1"/>
        <v>420000</v>
      </c>
    </row>
    <row r="37" spans="1:14" s="17" customFormat="1" ht="21.75" customHeight="1">
      <c r="A37" s="312"/>
      <c r="B37" s="385"/>
      <c r="C37" s="111"/>
      <c r="D37" s="21"/>
      <c r="E37" s="101"/>
      <c r="F37" s="23"/>
      <c r="G37" s="23"/>
      <c r="H37" s="23"/>
      <c r="I37" s="74"/>
      <c r="J37" s="55"/>
      <c r="K37" s="348" t="s">
        <v>32</v>
      </c>
      <c r="L37" s="284"/>
      <c r="M37" s="61">
        <v>1750</v>
      </c>
      <c r="N37" s="65">
        <f t="shared" si="1"/>
        <v>21000</v>
      </c>
    </row>
    <row r="38" spans="1:14" ht="21.75" customHeight="1">
      <c r="A38" s="312"/>
      <c r="B38" s="385"/>
      <c r="C38" s="111"/>
      <c r="D38" s="21"/>
      <c r="E38" s="101"/>
      <c r="F38" s="23"/>
      <c r="G38" s="23"/>
      <c r="H38" s="23"/>
      <c r="I38" s="74"/>
      <c r="J38" s="55"/>
      <c r="K38" s="348" t="s">
        <v>150</v>
      </c>
      <c r="L38" s="284"/>
      <c r="M38" s="62">
        <v>15000</v>
      </c>
      <c r="N38" s="64">
        <f t="shared" si="1"/>
        <v>180000</v>
      </c>
    </row>
    <row r="39" spans="1:14" ht="21.75" customHeight="1">
      <c r="A39" s="312"/>
      <c r="B39" s="385"/>
      <c r="C39" s="111"/>
      <c r="D39" s="21"/>
      <c r="E39" s="101"/>
      <c r="F39" s="23"/>
      <c r="G39" s="23"/>
      <c r="H39" s="23"/>
      <c r="I39" s="40"/>
      <c r="J39" s="55"/>
      <c r="K39" s="297" t="s">
        <v>147</v>
      </c>
      <c r="L39" s="298"/>
      <c r="M39" s="62">
        <f>M38*0.302</f>
        <v>4530</v>
      </c>
      <c r="N39" s="66">
        <f>M39*12</f>
        <v>54360</v>
      </c>
    </row>
    <row r="40" spans="1:14" ht="21.75" customHeight="1">
      <c r="A40" s="312"/>
      <c r="B40" s="385"/>
      <c r="C40" s="111"/>
      <c r="D40" s="21"/>
      <c r="E40" s="101"/>
      <c r="F40" s="23"/>
      <c r="G40" s="23"/>
      <c r="H40" s="18"/>
      <c r="I40" s="40"/>
      <c r="J40" s="55"/>
      <c r="K40" s="348" t="s">
        <v>98</v>
      </c>
      <c r="L40" s="284"/>
      <c r="M40" s="140">
        <v>20000</v>
      </c>
      <c r="N40" s="66">
        <f t="shared" si="1"/>
        <v>240000</v>
      </c>
    </row>
    <row r="41" spans="1:14" ht="21.75" customHeight="1" thickBot="1">
      <c r="A41" s="312"/>
      <c r="B41" s="385"/>
      <c r="C41" s="111"/>
      <c r="D41" s="21"/>
      <c r="E41" s="101"/>
      <c r="F41" s="23"/>
      <c r="G41" s="18"/>
      <c r="H41" s="18"/>
      <c r="I41" s="40"/>
      <c r="J41" s="75"/>
      <c r="K41" s="290" t="s">
        <v>168</v>
      </c>
      <c r="L41" s="284"/>
      <c r="M41" s="63">
        <f>N41/12</f>
        <v>10000</v>
      </c>
      <c r="N41" s="66">
        <v>120000</v>
      </c>
    </row>
    <row r="42" spans="1:14" s="3" customFormat="1" ht="19.5" customHeight="1" thickBot="1">
      <c r="A42" s="313"/>
      <c r="B42" s="386"/>
      <c r="C42" s="112"/>
      <c r="D42" s="20"/>
      <c r="E42" s="20"/>
      <c r="F42" s="19"/>
      <c r="G42" s="24"/>
      <c r="H42" s="19"/>
      <c r="I42" s="103"/>
      <c r="J42" s="190">
        <f>I32*12</f>
        <v>3653159.999999999</v>
      </c>
      <c r="K42" s="455"/>
      <c r="L42" s="350"/>
      <c r="M42" s="192">
        <f>M33+M34+M35+M36+M37+M38+M39+M40+M41</f>
        <v>304430</v>
      </c>
      <c r="N42" s="191">
        <f>SUM(N33:N41)</f>
        <v>3653160</v>
      </c>
    </row>
    <row r="43" spans="1:14" s="3" customFormat="1" ht="19.5" customHeight="1">
      <c r="A43" s="107"/>
      <c r="B43" s="361" t="s">
        <v>48</v>
      </c>
      <c r="C43" s="220">
        <f>M50/(F7+F9)</f>
        <v>4.934823671693338</v>
      </c>
      <c r="D43" s="221"/>
      <c r="E43" s="222">
        <f>M50/(F7+F9)</f>
        <v>4.934823671693338</v>
      </c>
      <c r="F43" s="6"/>
      <c r="G43" s="113"/>
      <c r="H43" s="6"/>
      <c r="I43" s="114"/>
      <c r="J43" s="450"/>
      <c r="K43" s="340"/>
      <c r="L43" s="341"/>
      <c r="M43" s="115"/>
      <c r="N43" s="82"/>
    </row>
    <row r="44" spans="1:19" ht="19.5" customHeight="1">
      <c r="A44" s="389" t="s">
        <v>2</v>
      </c>
      <c r="B44" s="324"/>
      <c r="C44" s="116"/>
      <c r="D44" s="106"/>
      <c r="E44" s="156"/>
      <c r="F44" s="390">
        <f>C43*F7</f>
        <v>77769.86017168399</v>
      </c>
      <c r="G44" s="390">
        <f>D43*F8</f>
        <v>0</v>
      </c>
      <c r="H44" s="390">
        <f>E43*F9</f>
        <v>1390.1398283160133</v>
      </c>
      <c r="I44" s="421">
        <f>F44+G44+H44</f>
        <v>79160</v>
      </c>
      <c r="J44" s="324"/>
      <c r="K44" s="283" t="s">
        <v>123</v>
      </c>
      <c r="L44" s="284"/>
      <c r="M44" s="45">
        <v>32500</v>
      </c>
      <c r="N44" s="64">
        <f aca="true" t="shared" si="2" ref="N44:N49">M44*12</f>
        <v>390000</v>
      </c>
      <c r="Q44" s="29"/>
      <c r="R44" s="32"/>
      <c r="S44" s="30"/>
    </row>
    <row r="45" spans="1:19" ht="19.5" customHeight="1">
      <c r="A45" s="389"/>
      <c r="B45" s="324"/>
      <c r="C45" s="116"/>
      <c r="D45" s="106"/>
      <c r="E45" s="156"/>
      <c r="F45" s="390"/>
      <c r="G45" s="390"/>
      <c r="H45" s="390"/>
      <c r="I45" s="421"/>
      <c r="J45" s="324"/>
      <c r="K45" s="283" t="s">
        <v>61</v>
      </c>
      <c r="L45" s="284"/>
      <c r="M45" s="45">
        <f>N45/12</f>
        <v>2500</v>
      </c>
      <c r="N45" s="64">
        <v>30000</v>
      </c>
      <c r="Q45" s="29"/>
      <c r="R45" s="32"/>
      <c r="S45" s="30"/>
    </row>
    <row r="46" spans="1:19" ht="19.5" customHeight="1">
      <c r="A46" s="389"/>
      <c r="B46" s="324"/>
      <c r="C46" s="116"/>
      <c r="D46" s="106"/>
      <c r="E46" s="156"/>
      <c r="F46" s="390"/>
      <c r="G46" s="390"/>
      <c r="H46" s="390"/>
      <c r="I46" s="421"/>
      <c r="J46" s="324"/>
      <c r="K46" s="283" t="s">
        <v>85</v>
      </c>
      <c r="L46" s="284"/>
      <c r="M46" s="45">
        <v>4900</v>
      </c>
      <c r="N46" s="64">
        <f t="shared" si="2"/>
        <v>58800</v>
      </c>
      <c r="Q46" s="29"/>
      <c r="R46" s="32"/>
      <c r="S46" s="30"/>
    </row>
    <row r="47" spans="1:19" ht="19.5" customHeight="1">
      <c r="A47" s="389"/>
      <c r="B47" s="324"/>
      <c r="C47" s="116"/>
      <c r="D47" s="106"/>
      <c r="E47" s="156"/>
      <c r="F47" s="390"/>
      <c r="G47" s="390"/>
      <c r="H47" s="390"/>
      <c r="I47" s="421"/>
      <c r="J47" s="324"/>
      <c r="K47" s="342" t="s">
        <v>80</v>
      </c>
      <c r="L47" s="343"/>
      <c r="M47" s="45">
        <v>30000</v>
      </c>
      <c r="N47" s="64">
        <f t="shared" si="2"/>
        <v>360000</v>
      </c>
      <c r="Q47" s="29"/>
      <c r="R47" s="32"/>
      <c r="S47" s="30"/>
    </row>
    <row r="48" spans="1:19" ht="19.5" customHeight="1">
      <c r="A48" s="389"/>
      <c r="B48" s="324"/>
      <c r="C48" s="116"/>
      <c r="D48" s="106"/>
      <c r="E48" s="156"/>
      <c r="F48" s="390"/>
      <c r="G48" s="390"/>
      <c r="H48" s="390"/>
      <c r="I48" s="421"/>
      <c r="J48" s="324"/>
      <c r="K48" s="342" t="s">
        <v>53</v>
      </c>
      <c r="L48" s="343"/>
      <c r="M48" s="45">
        <f>M47*0.302</f>
        <v>9060</v>
      </c>
      <c r="N48" s="64">
        <f t="shared" si="2"/>
        <v>108720</v>
      </c>
      <c r="Q48" s="29"/>
      <c r="R48" s="32"/>
      <c r="S48" s="30"/>
    </row>
    <row r="49" spans="1:19" ht="19.5" customHeight="1" thickBot="1">
      <c r="A49" s="389"/>
      <c r="B49" s="324"/>
      <c r="C49" s="116"/>
      <c r="D49" s="106"/>
      <c r="E49" s="156"/>
      <c r="F49" s="390"/>
      <c r="G49" s="390"/>
      <c r="H49" s="390"/>
      <c r="I49" s="421"/>
      <c r="J49" s="362"/>
      <c r="K49" s="283" t="s">
        <v>24</v>
      </c>
      <c r="L49" s="284"/>
      <c r="M49" s="45">
        <v>200</v>
      </c>
      <c r="N49" s="64">
        <f t="shared" si="2"/>
        <v>2400</v>
      </c>
      <c r="Q49" s="29"/>
      <c r="R49" s="32"/>
      <c r="S49" s="30"/>
    </row>
    <row r="50" spans="1:19" ht="19.5" customHeight="1" thickBot="1">
      <c r="A50" s="389"/>
      <c r="B50" s="324"/>
      <c r="C50" s="108"/>
      <c r="D50" s="106"/>
      <c r="E50" s="110"/>
      <c r="F50" s="390"/>
      <c r="G50" s="390"/>
      <c r="H50" s="390"/>
      <c r="I50" s="421"/>
      <c r="J50" s="195">
        <f>I44*12</f>
        <v>949920</v>
      </c>
      <c r="K50" s="283"/>
      <c r="L50" s="284"/>
      <c r="M50" s="194">
        <f>M44+M45+M46+M47+M48+M49</f>
        <v>79160</v>
      </c>
      <c r="N50" s="193">
        <f>N44+N45+N46+N47+N48+N49</f>
        <v>949920</v>
      </c>
      <c r="Q50" s="29"/>
      <c r="R50" s="31"/>
      <c r="S50" s="30"/>
    </row>
    <row r="51" spans="1:19" ht="0.75" customHeight="1" thickBot="1">
      <c r="A51" s="389"/>
      <c r="B51" s="362"/>
      <c r="C51" s="109"/>
      <c r="D51" s="104"/>
      <c r="E51" s="104"/>
      <c r="F51" s="391"/>
      <c r="G51" s="391"/>
      <c r="H51" s="80"/>
      <c r="I51" s="422"/>
      <c r="J51" s="105"/>
      <c r="K51" s="13"/>
      <c r="L51" s="12" t="s">
        <v>9</v>
      </c>
      <c r="M51" s="98"/>
      <c r="N51" s="92"/>
      <c r="Q51" s="33"/>
      <c r="R51" s="33"/>
      <c r="S51" s="30"/>
    </row>
    <row r="52" spans="1:19" ht="21" customHeight="1">
      <c r="A52" s="400" t="s">
        <v>3</v>
      </c>
      <c r="B52" s="361" t="s">
        <v>33</v>
      </c>
      <c r="C52" s="397">
        <f>M55/(F7+F9)</f>
        <v>8.098987392801408</v>
      </c>
      <c r="D52" s="415">
        <v>0</v>
      </c>
      <c r="E52" s="317">
        <f>M55/(F7+F9)</f>
        <v>8.098987392801408</v>
      </c>
      <c r="F52" s="329">
        <f>C52*F7</f>
        <v>127635.18191811451</v>
      </c>
      <c r="G52" s="326">
        <f>D52*F8</f>
        <v>0</v>
      </c>
      <c r="H52" s="329">
        <f>E52*F9</f>
        <v>2281.484748552157</v>
      </c>
      <c r="I52" s="314">
        <f>F52+G52+H52</f>
        <v>129916.66666666667</v>
      </c>
      <c r="J52" s="308">
        <f>I52*12</f>
        <v>1559000</v>
      </c>
      <c r="K52" s="449" t="s">
        <v>33</v>
      </c>
      <c r="L52" s="341"/>
      <c r="M52" s="69">
        <v>111500</v>
      </c>
      <c r="N52" s="89">
        <f>M52*12</f>
        <v>1338000</v>
      </c>
      <c r="O52" s="25"/>
      <c r="Q52" s="31"/>
      <c r="R52" s="31"/>
      <c r="S52" s="30"/>
    </row>
    <row r="53" spans="1:19" ht="21.75" customHeight="1">
      <c r="A53" s="389"/>
      <c r="B53" s="385"/>
      <c r="C53" s="424"/>
      <c r="D53" s="338"/>
      <c r="E53" s="318"/>
      <c r="F53" s="420"/>
      <c r="G53" s="327"/>
      <c r="H53" s="413"/>
      <c r="I53" s="423"/>
      <c r="J53" s="309"/>
      <c r="K53" s="392" t="s">
        <v>142</v>
      </c>
      <c r="L53" s="284"/>
      <c r="M53" s="219">
        <v>3000</v>
      </c>
      <c r="N53" s="140">
        <f>M53*12</f>
        <v>36000</v>
      </c>
      <c r="O53" s="25"/>
      <c r="Q53" s="31"/>
      <c r="R53" s="31"/>
      <c r="S53" s="30"/>
    </row>
    <row r="54" spans="1:19" ht="21.75" customHeight="1" thickBot="1">
      <c r="A54" s="389"/>
      <c r="B54" s="385"/>
      <c r="C54" s="424"/>
      <c r="D54" s="338"/>
      <c r="E54" s="318"/>
      <c r="F54" s="420"/>
      <c r="G54" s="327"/>
      <c r="H54" s="413"/>
      <c r="I54" s="423"/>
      <c r="J54" s="309"/>
      <c r="K54" s="392" t="s">
        <v>91</v>
      </c>
      <c r="L54" s="284"/>
      <c r="M54" s="90">
        <f>N54/12</f>
        <v>15416.666666666666</v>
      </c>
      <c r="N54" s="91">
        <v>185000</v>
      </c>
      <c r="O54" s="25"/>
      <c r="Q54" s="31"/>
      <c r="R54" s="31"/>
      <c r="S54" s="30"/>
    </row>
    <row r="55" spans="1:19" ht="21.75" customHeight="1" thickBot="1">
      <c r="A55" s="313"/>
      <c r="B55" s="362"/>
      <c r="C55" s="419"/>
      <c r="D55" s="425"/>
      <c r="E55" s="319"/>
      <c r="F55" s="328"/>
      <c r="G55" s="328"/>
      <c r="H55" s="328"/>
      <c r="I55" s="394"/>
      <c r="J55" s="310"/>
      <c r="K55" s="453"/>
      <c r="L55" s="454"/>
      <c r="M55" s="191">
        <f>M52+M53+M54</f>
        <v>129916.66666666667</v>
      </c>
      <c r="N55" s="191">
        <f>N52+N53+N54</f>
        <v>1559000</v>
      </c>
      <c r="O55" s="25"/>
      <c r="Q55" s="31"/>
      <c r="R55" s="31"/>
      <c r="S55" s="30"/>
    </row>
    <row r="56" spans="1:19" ht="19.5" customHeight="1">
      <c r="A56" s="400" t="s">
        <v>4</v>
      </c>
      <c r="B56" s="414" t="s">
        <v>49</v>
      </c>
      <c r="C56" s="397">
        <f>M59/F10</f>
        <v>2.9965308793286107</v>
      </c>
      <c r="D56" s="415">
        <f>M59/F10</f>
        <v>2.9965308793286107</v>
      </c>
      <c r="E56" s="317">
        <f>M59/F10</f>
        <v>2.9965308793286107</v>
      </c>
      <c r="F56" s="329">
        <f>C56*F7</f>
        <v>47223.528739691305</v>
      </c>
      <c r="G56" s="329">
        <f>D56*F8</f>
        <v>9632.34851160182</v>
      </c>
      <c r="H56" s="329">
        <f>E56*F9</f>
        <v>844.1227487068696</v>
      </c>
      <c r="I56" s="314">
        <f>F56+G56+H56</f>
        <v>57699.99999999999</v>
      </c>
      <c r="J56" s="41"/>
      <c r="K56" s="449" t="s">
        <v>100</v>
      </c>
      <c r="L56" s="341"/>
      <c r="M56" s="69">
        <v>51700</v>
      </c>
      <c r="N56" s="89">
        <f>M56*12</f>
        <v>620400</v>
      </c>
      <c r="O56" s="25"/>
      <c r="Q56" s="29"/>
      <c r="R56" s="27"/>
      <c r="S56" s="30"/>
    </row>
    <row r="57" spans="1:19" ht="32.25" customHeight="1">
      <c r="A57" s="312"/>
      <c r="B57" s="418"/>
      <c r="C57" s="398"/>
      <c r="D57" s="417"/>
      <c r="E57" s="417"/>
      <c r="F57" s="413"/>
      <c r="G57" s="413"/>
      <c r="H57" s="330"/>
      <c r="I57" s="315"/>
      <c r="J57" s="70"/>
      <c r="K57" s="392" t="s">
        <v>165</v>
      </c>
      <c r="L57" s="393"/>
      <c r="M57" s="45">
        <v>4000</v>
      </c>
      <c r="N57" s="35">
        <f>M57*12</f>
        <v>48000</v>
      </c>
      <c r="O57" s="26"/>
      <c r="Q57" s="29"/>
      <c r="R57" s="31"/>
      <c r="S57" s="30"/>
    </row>
    <row r="58" spans="1:19" ht="25.5" customHeight="1" thickBot="1">
      <c r="A58" s="312"/>
      <c r="B58" s="418"/>
      <c r="C58" s="398"/>
      <c r="D58" s="417"/>
      <c r="E58" s="417"/>
      <c r="F58" s="413"/>
      <c r="G58" s="413"/>
      <c r="H58" s="330"/>
      <c r="I58" s="315"/>
      <c r="J58" s="70"/>
      <c r="K58" s="392" t="s">
        <v>111</v>
      </c>
      <c r="L58" s="393"/>
      <c r="M58" s="97">
        <v>2000</v>
      </c>
      <c r="N58" s="71">
        <f>M58*12</f>
        <v>24000</v>
      </c>
      <c r="O58" s="26"/>
      <c r="Q58" s="29"/>
      <c r="R58" s="31"/>
      <c r="S58" s="30"/>
    </row>
    <row r="59" spans="1:19" ht="25.5" customHeight="1" thickBot="1">
      <c r="A59" s="313"/>
      <c r="B59" s="362"/>
      <c r="C59" s="399"/>
      <c r="D59" s="376"/>
      <c r="E59" s="376"/>
      <c r="F59" s="328"/>
      <c r="G59" s="328"/>
      <c r="H59" s="331"/>
      <c r="I59" s="316"/>
      <c r="J59" s="197">
        <f>I56*12</f>
        <v>692399.9999999999</v>
      </c>
      <c r="K59" s="448"/>
      <c r="L59" s="350"/>
      <c r="M59" s="191">
        <f>M56+M57+M58</f>
        <v>57700</v>
      </c>
      <c r="N59" s="191">
        <f>SUM(N56:N58)</f>
        <v>692400</v>
      </c>
      <c r="O59" s="26"/>
      <c r="Q59" s="29"/>
      <c r="R59" s="31"/>
      <c r="S59" s="30"/>
    </row>
    <row r="60" spans="1:19" ht="19.5" customHeight="1" thickBot="1">
      <c r="A60" s="400" t="s">
        <v>35</v>
      </c>
      <c r="B60" s="414" t="s">
        <v>101</v>
      </c>
      <c r="C60" s="397">
        <f>M61/(F7+F8)</f>
        <v>2.1081591027674857</v>
      </c>
      <c r="D60" s="415">
        <f>M61/(F7+F8)</f>
        <v>2.1081591027674857</v>
      </c>
      <c r="E60" s="415">
        <v>0</v>
      </c>
      <c r="F60" s="329">
        <f>C60*F7</f>
        <v>33223.32256415392</v>
      </c>
      <c r="G60" s="329">
        <f>D60*F8</f>
        <v>6776.6774358460825</v>
      </c>
      <c r="H60" s="329">
        <f>E60*F9</f>
        <v>0</v>
      </c>
      <c r="I60" s="320">
        <f>F60+G60+H60</f>
        <v>40000</v>
      </c>
      <c r="J60" s="56"/>
      <c r="K60" s="451" t="s">
        <v>103</v>
      </c>
      <c r="L60" s="452"/>
      <c r="M60" s="45"/>
      <c r="N60" s="71"/>
      <c r="O60" s="25"/>
      <c r="Q60" s="33"/>
      <c r="R60" s="33"/>
      <c r="S60" s="30"/>
    </row>
    <row r="61" spans="1:15" ht="28.5" customHeight="1" thickBot="1">
      <c r="A61" s="313"/>
      <c r="B61" s="362"/>
      <c r="C61" s="419"/>
      <c r="D61" s="416"/>
      <c r="E61" s="416"/>
      <c r="F61" s="328"/>
      <c r="G61" s="328"/>
      <c r="H61" s="328"/>
      <c r="I61" s="394"/>
      <c r="J61" s="190">
        <f>I60*12</f>
        <v>480000</v>
      </c>
      <c r="K61" s="352" t="s">
        <v>102</v>
      </c>
      <c r="L61" s="353"/>
      <c r="M61" s="196">
        <f>N61/12</f>
        <v>40000</v>
      </c>
      <c r="N61" s="191">
        <v>480000</v>
      </c>
      <c r="O61" s="25"/>
    </row>
    <row r="62" spans="1:14" ht="19.5" customHeight="1">
      <c r="A62" s="400" t="s">
        <v>36</v>
      </c>
      <c r="B62" s="361" t="s">
        <v>50</v>
      </c>
      <c r="C62" s="430">
        <v>6.31</v>
      </c>
      <c r="D62" s="415">
        <v>6.31</v>
      </c>
      <c r="E62" s="317">
        <v>6.31</v>
      </c>
      <c r="F62" s="329">
        <f>C62*F7</f>
        <v>99441.814</v>
      </c>
      <c r="G62" s="401">
        <f>D62*F8</f>
        <v>20283.495</v>
      </c>
      <c r="H62" s="329">
        <f>E62*F9</f>
        <v>1777.5269999999998</v>
      </c>
      <c r="I62" s="320">
        <f>F62+G62+H62</f>
        <v>121502.836</v>
      </c>
      <c r="J62" s="56"/>
      <c r="K62" s="409" t="s">
        <v>54</v>
      </c>
      <c r="L62" s="410"/>
      <c r="M62" s="46"/>
      <c r="N62" s="93"/>
    </row>
    <row r="63" spans="1:14" ht="19.5" customHeight="1" thickBot="1">
      <c r="A63" s="389"/>
      <c r="B63" s="385"/>
      <c r="C63" s="431"/>
      <c r="D63" s="339"/>
      <c r="E63" s="318"/>
      <c r="F63" s="420"/>
      <c r="G63" s="402"/>
      <c r="H63" s="330"/>
      <c r="I63" s="321"/>
      <c r="J63" s="72"/>
      <c r="K63" s="283" t="s">
        <v>14</v>
      </c>
      <c r="L63" s="284"/>
      <c r="M63" s="99"/>
      <c r="N63" s="92"/>
    </row>
    <row r="64" spans="1:14" ht="19.5" customHeight="1" thickBot="1">
      <c r="A64" s="429"/>
      <c r="B64" s="386"/>
      <c r="C64" s="432"/>
      <c r="D64" s="416"/>
      <c r="E64" s="319"/>
      <c r="F64" s="433"/>
      <c r="G64" s="403"/>
      <c r="H64" s="331"/>
      <c r="I64" s="322"/>
      <c r="J64" s="189">
        <f>I62*12</f>
        <v>1458034.032</v>
      </c>
      <c r="K64" s="395"/>
      <c r="L64" s="350"/>
      <c r="M64" s="196">
        <v>121502.84</v>
      </c>
      <c r="N64" s="191">
        <f aca="true" t="shared" si="3" ref="N64:N77">M64*12</f>
        <v>1458034.08</v>
      </c>
    </row>
    <row r="65" spans="1:14" ht="20.25" customHeight="1">
      <c r="A65" s="426" t="s">
        <v>104</v>
      </c>
      <c r="B65" s="332" t="s">
        <v>144</v>
      </c>
      <c r="C65" s="335">
        <f>M78/F10</f>
        <v>19.268368682357337</v>
      </c>
      <c r="D65" s="338">
        <f>M78/F10</f>
        <v>19.268368682357337</v>
      </c>
      <c r="E65" s="447">
        <f>M78/F10</f>
        <v>19.268368682357337</v>
      </c>
      <c r="F65" s="434">
        <f>C65*F7</f>
        <v>303657.9294127422</v>
      </c>
      <c r="G65" s="406">
        <f>D65*F8</f>
        <v>61938.17112943766</v>
      </c>
      <c r="H65" s="390">
        <f>E65*F9</f>
        <v>5427.899457820062</v>
      </c>
      <c r="I65" s="404">
        <f>F65+G65+H65</f>
        <v>371023.99999999994</v>
      </c>
      <c r="J65" s="323"/>
      <c r="K65" s="407" t="s">
        <v>25</v>
      </c>
      <c r="L65" s="408"/>
      <c r="M65" s="44">
        <v>96500</v>
      </c>
      <c r="N65" s="35">
        <f t="shared" si="3"/>
        <v>1158000</v>
      </c>
    </row>
    <row r="66" spans="1:14" ht="20.25" customHeight="1">
      <c r="A66" s="426"/>
      <c r="B66" s="332"/>
      <c r="C66" s="335"/>
      <c r="D66" s="338"/>
      <c r="E66" s="318"/>
      <c r="F66" s="434"/>
      <c r="G66" s="406"/>
      <c r="H66" s="330"/>
      <c r="I66" s="405"/>
      <c r="J66" s="324"/>
      <c r="K66" s="283" t="s">
        <v>147</v>
      </c>
      <c r="L66" s="284"/>
      <c r="M66" s="44">
        <f>M65*0.302</f>
        <v>29143</v>
      </c>
      <c r="N66" s="64">
        <f t="shared" si="3"/>
        <v>349716</v>
      </c>
    </row>
    <row r="67" spans="1:14" ht="18" customHeight="1">
      <c r="A67" s="427"/>
      <c r="B67" s="333"/>
      <c r="C67" s="336"/>
      <c r="D67" s="339"/>
      <c r="E67" s="318"/>
      <c r="F67" s="435"/>
      <c r="G67" s="406"/>
      <c r="H67" s="330"/>
      <c r="I67" s="405"/>
      <c r="J67" s="324"/>
      <c r="K67" s="283" t="s">
        <v>139</v>
      </c>
      <c r="L67" s="284"/>
      <c r="M67" s="62">
        <v>59000</v>
      </c>
      <c r="N67" s="64">
        <f t="shared" si="3"/>
        <v>708000</v>
      </c>
    </row>
    <row r="68" spans="1:14" ht="18" customHeight="1">
      <c r="A68" s="427"/>
      <c r="B68" s="333"/>
      <c r="C68" s="336"/>
      <c r="D68" s="339"/>
      <c r="E68" s="318"/>
      <c r="F68" s="435"/>
      <c r="G68" s="406"/>
      <c r="H68" s="330"/>
      <c r="I68" s="405"/>
      <c r="J68" s="324"/>
      <c r="K68" s="283" t="s">
        <v>147</v>
      </c>
      <c r="L68" s="284"/>
      <c r="M68" s="62">
        <f>M67*0.302</f>
        <v>17818</v>
      </c>
      <c r="N68" s="64">
        <f t="shared" si="3"/>
        <v>213816</v>
      </c>
    </row>
    <row r="69" spans="1:14" ht="15" customHeight="1">
      <c r="A69" s="427"/>
      <c r="B69" s="333"/>
      <c r="C69" s="336"/>
      <c r="D69" s="339"/>
      <c r="E69" s="318"/>
      <c r="F69" s="435"/>
      <c r="G69" s="406"/>
      <c r="H69" s="330"/>
      <c r="I69" s="405"/>
      <c r="J69" s="324"/>
      <c r="K69" s="283" t="s">
        <v>143</v>
      </c>
      <c r="L69" s="284"/>
      <c r="M69" s="62">
        <v>76500</v>
      </c>
      <c r="N69" s="64">
        <f t="shared" si="3"/>
        <v>918000</v>
      </c>
    </row>
    <row r="70" spans="1:14" ht="21" customHeight="1">
      <c r="A70" s="427"/>
      <c r="B70" s="333"/>
      <c r="C70" s="336"/>
      <c r="D70" s="339"/>
      <c r="E70" s="318"/>
      <c r="F70" s="435"/>
      <c r="G70" s="406"/>
      <c r="H70" s="330"/>
      <c r="I70" s="405"/>
      <c r="J70" s="324"/>
      <c r="K70" s="283" t="s">
        <v>147</v>
      </c>
      <c r="L70" s="284"/>
      <c r="M70" s="62">
        <f>M69*0.302</f>
        <v>23103</v>
      </c>
      <c r="N70" s="64">
        <f t="shared" si="3"/>
        <v>277236</v>
      </c>
    </row>
    <row r="71" spans="1:14" ht="21" customHeight="1">
      <c r="A71" s="428"/>
      <c r="B71" s="334"/>
      <c r="C71" s="337"/>
      <c r="D71" s="339"/>
      <c r="E71" s="318"/>
      <c r="F71" s="436"/>
      <c r="G71" s="406"/>
      <c r="H71" s="330"/>
      <c r="I71" s="405"/>
      <c r="J71" s="121"/>
      <c r="K71" s="283" t="s">
        <v>149</v>
      </c>
      <c r="L71" s="284"/>
      <c r="M71" s="62">
        <v>30000</v>
      </c>
      <c r="N71" s="64">
        <f>M71*12</f>
        <v>360000</v>
      </c>
    </row>
    <row r="72" spans="1:14" ht="21" customHeight="1">
      <c r="A72" s="428"/>
      <c r="B72" s="334"/>
      <c r="C72" s="337"/>
      <c r="D72" s="339"/>
      <c r="E72" s="318"/>
      <c r="F72" s="436"/>
      <c r="G72" s="406"/>
      <c r="H72" s="330"/>
      <c r="I72" s="405"/>
      <c r="J72" s="121"/>
      <c r="K72" s="283" t="s">
        <v>146</v>
      </c>
      <c r="L72" s="284"/>
      <c r="M72" s="62">
        <f>M71*0.302</f>
        <v>9060</v>
      </c>
      <c r="N72" s="64">
        <f>M72*12</f>
        <v>108720</v>
      </c>
    </row>
    <row r="73" spans="1:14" ht="21" customHeight="1">
      <c r="A73" s="428"/>
      <c r="B73" s="334"/>
      <c r="C73" s="337"/>
      <c r="D73" s="339"/>
      <c r="E73" s="318"/>
      <c r="F73" s="436"/>
      <c r="G73" s="406"/>
      <c r="H73" s="330"/>
      <c r="I73" s="405"/>
      <c r="J73" s="121"/>
      <c r="K73" s="283" t="s">
        <v>167</v>
      </c>
      <c r="L73" s="396"/>
      <c r="M73" s="64">
        <v>5400</v>
      </c>
      <c r="N73" s="64">
        <f>M73*12</f>
        <v>64800</v>
      </c>
    </row>
    <row r="74" spans="1:14" ht="21" customHeight="1">
      <c r="A74" s="428"/>
      <c r="B74" s="334"/>
      <c r="C74" s="337"/>
      <c r="D74" s="339"/>
      <c r="E74" s="318"/>
      <c r="F74" s="436"/>
      <c r="G74" s="406"/>
      <c r="H74" s="330"/>
      <c r="I74" s="405"/>
      <c r="J74" s="121"/>
      <c r="K74" s="283" t="s">
        <v>60</v>
      </c>
      <c r="L74" s="284"/>
      <c r="M74" s="64">
        <v>3000</v>
      </c>
      <c r="N74" s="64">
        <f t="shared" si="3"/>
        <v>36000</v>
      </c>
    </row>
    <row r="75" spans="1:14" ht="21" customHeight="1">
      <c r="A75" s="428"/>
      <c r="B75" s="334"/>
      <c r="C75" s="337"/>
      <c r="D75" s="339"/>
      <c r="E75" s="318"/>
      <c r="F75" s="436"/>
      <c r="G75" s="406"/>
      <c r="H75" s="330"/>
      <c r="I75" s="405"/>
      <c r="J75" s="121"/>
      <c r="K75" s="283" t="s">
        <v>156</v>
      </c>
      <c r="L75" s="284"/>
      <c r="M75" s="64">
        <v>10000</v>
      </c>
      <c r="N75" s="64">
        <f t="shared" si="3"/>
        <v>120000</v>
      </c>
    </row>
    <row r="76" spans="1:14" ht="21" customHeight="1">
      <c r="A76" s="428"/>
      <c r="B76" s="334"/>
      <c r="C76" s="337"/>
      <c r="D76" s="339"/>
      <c r="E76" s="318"/>
      <c r="F76" s="436"/>
      <c r="G76" s="406"/>
      <c r="H76" s="330"/>
      <c r="I76" s="405"/>
      <c r="J76" s="121"/>
      <c r="K76" s="283" t="s">
        <v>159</v>
      </c>
      <c r="L76" s="284"/>
      <c r="M76" s="64">
        <v>10000</v>
      </c>
      <c r="N76" s="64">
        <f t="shared" si="3"/>
        <v>120000</v>
      </c>
    </row>
    <row r="77" spans="1:14" ht="21" customHeight="1" thickBot="1">
      <c r="A77" s="428"/>
      <c r="B77" s="334"/>
      <c r="C77" s="337"/>
      <c r="D77" s="339"/>
      <c r="E77" s="318"/>
      <c r="F77" s="436"/>
      <c r="G77" s="406"/>
      <c r="H77" s="330"/>
      <c r="I77" s="405"/>
      <c r="J77" s="121"/>
      <c r="K77" s="283" t="s">
        <v>31</v>
      </c>
      <c r="L77" s="284"/>
      <c r="M77" s="63">
        <v>1500</v>
      </c>
      <c r="N77" s="71">
        <f t="shared" si="3"/>
        <v>18000</v>
      </c>
    </row>
    <row r="78" spans="1:14" ht="19.5" customHeight="1" thickBot="1">
      <c r="A78" s="428"/>
      <c r="B78" s="334"/>
      <c r="C78" s="337"/>
      <c r="D78" s="339"/>
      <c r="E78" s="319"/>
      <c r="F78" s="436"/>
      <c r="G78" s="406"/>
      <c r="H78" s="331"/>
      <c r="I78" s="405"/>
      <c r="J78" s="198">
        <f>I65*12</f>
        <v>4452287.999999999</v>
      </c>
      <c r="K78" s="395"/>
      <c r="L78" s="353"/>
      <c r="M78" s="200">
        <f>M65+M66+M67+M68+M69+M70+M71+M72+M73+M74+M75+M76+M77</f>
        <v>371024</v>
      </c>
      <c r="N78" s="191">
        <f>SUM(N65:N74)</f>
        <v>4194288</v>
      </c>
    </row>
    <row r="79" spans="1:14" ht="20.25" customHeight="1" thickBot="1">
      <c r="A79" s="437" t="s">
        <v>135</v>
      </c>
      <c r="B79" s="361" t="s">
        <v>52</v>
      </c>
      <c r="C79" s="430">
        <v>1</v>
      </c>
      <c r="D79" s="430">
        <v>1</v>
      </c>
      <c r="E79" s="430">
        <v>1</v>
      </c>
      <c r="F79" s="440">
        <f>C79*F7</f>
        <v>15759.4</v>
      </c>
      <c r="G79" s="441">
        <f>D79*F8</f>
        <v>3214.5</v>
      </c>
      <c r="H79" s="311">
        <f>E79*F9</f>
        <v>281.7</v>
      </c>
      <c r="I79" s="364">
        <f>F79+G79+H79</f>
        <v>19255.600000000002</v>
      </c>
      <c r="J79" s="56"/>
      <c r="K79" s="351" t="s">
        <v>12</v>
      </c>
      <c r="L79" s="351"/>
      <c r="M79" s="351"/>
      <c r="N79" s="83"/>
    </row>
    <row r="80" spans="1:14" ht="36.75" customHeight="1">
      <c r="A80" s="438"/>
      <c r="B80" s="385"/>
      <c r="C80" s="431"/>
      <c r="D80" s="431"/>
      <c r="E80" s="431"/>
      <c r="F80" s="390"/>
      <c r="G80" s="442"/>
      <c r="H80" s="312"/>
      <c r="I80" s="365"/>
      <c r="J80" s="55"/>
      <c r="K80" s="354" t="s">
        <v>11</v>
      </c>
      <c r="L80" s="355"/>
      <c r="M80" s="87"/>
      <c r="N80" s="94"/>
    </row>
    <row r="81" spans="1:14" ht="19.5" customHeight="1" thickBot="1">
      <c r="A81" s="438"/>
      <c r="B81" s="385"/>
      <c r="C81" s="431"/>
      <c r="D81" s="431"/>
      <c r="E81" s="431"/>
      <c r="F81" s="390"/>
      <c r="G81" s="442"/>
      <c r="H81" s="312"/>
      <c r="I81" s="366"/>
      <c r="J81" s="68"/>
      <c r="K81" s="363" t="s">
        <v>105</v>
      </c>
      <c r="L81" s="284"/>
      <c r="M81" s="38"/>
      <c r="N81" s="92"/>
    </row>
    <row r="82" spans="1:14" ht="19.5" customHeight="1" thickBot="1">
      <c r="A82" s="439"/>
      <c r="B82" s="386"/>
      <c r="C82" s="432"/>
      <c r="D82" s="432"/>
      <c r="E82" s="432"/>
      <c r="F82" s="391"/>
      <c r="G82" s="443"/>
      <c r="H82" s="313"/>
      <c r="I82" s="367"/>
      <c r="J82" s="190">
        <f>I79*12</f>
        <v>231067.2</v>
      </c>
      <c r="K82" s="352"/>
      <c r="L82" s="353"/>
      <c r="M82" s="199">
        <v>19255.6</v>
      </c>
      <c r="N82" s="191">
        <f>M82*12</f>
        <v>231067.19999999998</v>
      </c>
    </row>
    <row r="83" spans="1:14" ht="19.5" customHeight="1" thickBot="1">
      <c r="A83" s="11"/>
      <c r="B83" s="237" t="s">
        <v>110</v>
      </c>
      <c r="C83" s="40">
        <f>C14+C27+C32+C43+C52+C56+C60+C62+C65+C79</f>
        <v>81.18080749250788</v>
      </c>
      <c r="D83" s="40">
        <f>D14+D27+D32+D56+D60+D62+D65+D79</f>
        <v>68.14699642801313</v>
      </c>
      <c r="E83" s="40">
        <f>E14+E27+E32+E43+E52+E56+E60+E62+E65+E79</f>
        <v>79.0726483897404</v>
      </c>
      <c r="F83" s="175"/>
      <c r="G83" s="243"/>
      <c r="H83" s="244"/>
      <c r="I83" s="245"/>
      <c r="J83" s="184"/>
      <c r="K83" s="81"/>
      <c r="L83" s="86"/>
      <c r="M83" s="100"/>
      <c r="N83" s="37"/>
    </row>
    <row r="84" spans="1:14" ht="34.5" customHeight="1" thickBot="1">
      <c r="A84" s="242" t="s">
        <v>81</v>
      </c>
      <c r="B84" s="253" t="s">
        <v>154</v>
      </c>
      <c r="C84" s="254" t="s">
        <v>155</v>
      </c>
      <c r="D84" s="254"/>
      <c r="E84" s="254"/>
      <c r="F84" s="255"/>
      <c r="G84" s="256"/>
      <c r="H84" s="257"/>
      <c r="I84" s="258"/>
      <c r="J84" s="250"/>
      <c r="K84" s="81"/>
      <c r="L84" s="81"/>
      <c r="M84" s="241"/>
      <c r="N84" s="85"/>
    </row>
    <row r="85" spans="1:14" ht="34.5" customHeight="1" thickBot="1">
      <c r="A85" s="259" t="s">
        <v>109</v>
      </c>
      <c r="B85" s="246" t="s">
        <v>160</v>
      </c>
      <c r="C85" s="247" t="s">
        <v>161</v>
      </c>
      <c r="D85" s="247"/>
      <c r="E85" s="247"/>
      <c r="F85" s="137"/>
      <c r="G85" s="124"/>
      <c r="H85" s="248"/>
      <c r="I85" s="249"/>
      <c r="J85" s="184"/>
      <c r="K85" s="81"/>
      <c r="L85" s="81"/>
      <c r="M85" s="241"/>
      <c r="N85" s="85"/>
    </row>
    <row r="86" spans="1:14" ht="22.5" customHeight="1" thickBot="1">
      <c r="A86" s="79"/>
      <c r="B86" s="444" t="s">
        <v>51</v>
      </c>
      <c r="C86" s="445"/>
      <c r="D86" s="445"/>
      <c r="E86" s="445"/>
      <c r="F86" s="445"/>
      <c r="G86" s="445"/>
      <c r="H86" s="445"/>
      <c r="I86" s="446"/>
      <c r="J86" s="73"/>
      <c r="K86" s="81"/>
      <c r="L86" s="81"/>
      <c r="M86" s="67"/>
      <c r="N86" s="85"/>
    </row>
    <row r="87" spans="1:14" ht="17.25" customHeight="1" thickBot="1">
      <c r="A87" s="79"/>
      <c r="B87" s="358" t="s">
        <v>40</v>
      </c>
      <c r="C87" s="359"/>
      <c r="D87" s="359"/>
      <c r="E87" s="359"/>
      <c r="F87" s="359"/>
      <c r="G87" s="359"/>
      <c r="H87" s="359"/>
      <c r="I87" s="360"/>
      <c r="J87" s="73"/>
      <c r="K87" s="81"/>
      <c r="L87" s="81"/>
      <c r="M87" s="67"/>
      <c r="N87" s="82"/>
    </row>
    <row r="88" spans="1:14" ht="18.75" customHeight="1" thickBot="1">
      <c r="A88" s="79"/>
      <c r="B88" s="358" t="s">
        <v>39</v>
      </c>
      <c r="C88" s="359"/>
      <c r="D88" s="359"/>
      <c r="E88" s="359"/>
      <c r="F88" s="359"/>
      <c r="G88" s="359"/>
      <c r="H88" s="359"/>
      <c r="I88" s="360"/>
      <c r="J88" s="73"/>
      <c r="K88" s="81"/>
      <c r="L88" s="81"/>
      <c r="M88" s="67"/>
      <c r="N88" s="82"/>
    </row>
    <row r="89" spans="1:14" ht="17.25" customHeight="1" thickBot="1">
      <c r="A89" s="79"/>
      <c r="B89" s="358" t="s">
        <v>96</v>
      </c>
      <c r="C89" s="359"/>
      <c r="D89" s="359"/>
      <c r="E89" s="359"/>
      <c r="F89" s="359"/>
      <c r="G89" s="359"/>
      <c r="H89" s="359"/>
      <c r="I89" s="360"/>
      <c r="J89" s="73"/>
      <c r="K89" s="81"/>
      <c r="L89" s="81"/>
      <c r="M89" s="67"/>
      <c r="N89" s="82"/>
    </row>
    <row r="90" spans="1:14" ht="16.5" customHeight="1" thickBot="1">
      <c r="A90" s="79"/>
      <c r="B90" s="358" t="s">
        <v>41</v>
      </c>
      <c r="C90" s="359"/>
      <c r="D90" s="359"/>
      <c r="E90" s="359"/>
      <c r="F90" s="359"/>
      <c r="G90" s="359"/>
      <c r="H90" s="359"/>
      <c r="I90" s="360"/>
      <c r="J90" s="73"/>
      <c r="K90" s="81"/>
      <c r="L90" s="81"/>
      <c r="M90" s="67"/>
      <c r="N90" s="60"/>
    </row>
    <row r="91" spans="1:14" ht="15.75" customHeight="1">
      <c r="A91" s="8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2"/>
    </row>
    <row r="92" spans="1:14" ht="15.75" customHeight="1">
      <c r="A92" s="8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2"/>
    </row>
    <row r="93" spans="2:14" ht="24.75" customHeight="1">
      <c r="B93" s="203"/>
      <c r="C93" s="203"/>
      <c r="D93" s="203"/>
      <c r="E93" s="202" t="s">
        <v>106</v>
      </c>
      <c r="F93" s="201"/>
      <c r="G93" s="201"/>
      <c r="H93" s="302" t="s">
        <v>129</v>
      </c>
      <c r="I93" s="303"/>
      <c r="J93" s="163" t="s">
        <v>128</v>
      </c>
      <c r="K93" s="163" t="s">
        <v>45</v>
      </c>
      <c r="L93" s="236" t="s">
        <v>136</v>
      </c>
      <c r="M93" s="163" t="s">
        <v>130</v>
      </c>
      <c r="N93" s="163" t="s">
        <v>131</v>
      </c>
    </row>
    <row r="94" spans="2:14" ht="20.25" customHeight="1">
      <c r="B94" s="204"/>
      <c r="C94" s="205"/>
      <c r="D94" s="205"/>
      <c r="E94" s="226" t="s">
        <v>43</v>
      </c>
      <c r="F94" s="226"/>
      <c r="G94" s="226"/>
      <c r="H94" s="288">
        <f aca="true" t="shared" si="4" ref="H94:H100">J94-K94</f>
        <v>83955</v>
      </c>
      <c r="I94" s="304"/>
      <c r="J94" s="227">
        <v>96500</v>
      </c>
      <c r="K94" s="227">
        <v>12545</v>
      </c>
      <c r="L94" s="227">
        <f aca="true" t="shared" si="5" ref="L94:L99">J94*0.302</f>
        <v>29143</v>
      </c>
      <c r="M94" s="227">
        <f aca="true" t="shared" si="6" ref="M94:M100">J94+L94</f>
        <v>125643</v>
      </c>
      <c r="N94" s="227">
        <f aca="true" t="shared" si="7" ref="N94:N100">M94*12</f>
        <v>1507716</v>
      </c>
    </row>
    <row r="95" spans="2:14" ht="19.5" customHeight="1">
      <c r="B95" s="206"/>
      <c r="C95" s="207"/>
      <c r="D95" s="207"/>
      <c r="E95" s="285" t="s">
        <v>151</v>
      </c>
      <c r="F95" s="306"/>
      <c r="G95" s="307"/>
      <c r="H95" s="288">
        <f t="shared" si="4"/>
        <v>39150</v>
      </c>
      <c r="I95" s="304"/>
      <c r="J95" s="227">
        <v>45000</v>
      </c>
      <c r="K95" s="227">
        <f>J95*0.13</f>
        <v>5850</v>
      </c>
      <c r="L95" s="227">
        <f t="shared" si="5"/>
        <v>13590</v>
      </c>
      <c r="M95" s="227">
        <f t="shared" si="6"/>
        <v>58590</v>
      </c>
      <c r="N95" s="227">
        <f t="shared" si="7"/>
        <v>703080</v>
      </c>
    </row>
    <row r="96" spans="2:14" ht="27" customHeight="1">
      <c r="B96" s="206"/>
      <c r="C96" s="207"/>
      <c r="D96" s="207"/>
      <c r="E96" s="285" t="s">
        <v>152</v>
      </c>
      <c r="F96" s="286"/>
      <c r="G96" s="287"/>
      <c r="H96" s="288">
        <f t="shared" si="4"/>
        <v>13050</v>
      </c>
      <c r="I96" s="289"/>
      <c r="J96" s="227">
        <v>15000</v>
      </c>
      <c r="K96" s="227">
        <f>J96*0.13</f>
        <v>1950</v>
      </c>
      <c r="L96" s="227">
        <f t="shared" si="5"/>
        <v>4530</v>
      </c>
      <c r="M96" s="227">
        <f t="shared" si="6"/>
        <v>19530</v>
      </c>
      <c r="N96" s="227">
        <f>M96*12</f>
        <v>234360</v>
      </c>
    </row>
    <row r="97" spans="2:14" ht="17.25" customHeight="1">
      <c r="B97" s="206"/>
      <c r="C97" s="206"/>
      <c r="D97" s="206"/>
      <c r="E97" s="285" t="s">
        <v>143</v>
      </c>
      <c r="F97" s="306"/>
      <c r="G97" s="307"/>
      <c r="H97" s="288">
        <f t="shared" si="4"/>
        <v>66555</v>
      </c>
      <c r="I97" s="304"/>
      <c r="J97" s="227">
        <v>76500</v>
      </c>
      <c r="K97" s="227">
        <f>J97*0.13</f>
        <v>9945</v>
      </c>
      <c r="L97" s="227">
        <f t="shared" si="5"/>
        <v>23103</v>
      </c>
      <c r="M97" s="227">
        <f t="shared" si="6"/>
        <v>99603</v>
      </c>
      <c r="N97" s="227">
        <f t="shared" si="7"/>
        <v>1195236</v>
      </c>
    </row>
    <row r="98" spans="2:14" ht="17.25" customHeight="1">
      <c r="B98" s="206"/>
      <c r="C98" s="206"/>
      <c r="D98" s="206"/>
      <c r="E98" s="285" t="s">
        <v>153</v>
      </c>
      <c r="F98" s="286"/>
      <c r="G98" s="287"/>
      <c r="H98" s="288">
        <f t="shared" si="4"/>
        <v>26100</v>
      </c>
      <c r="I98" s="289"/>
      <c r="J98" s="227">
        <v>30000</v>
      </c>
      <c r="K98" s="227">
        <f>J98*0.13</f>
        <v>3900</v>
      </c>
      <c r="L98" s="227">
        <f t="shared" si="5"/>
        <v>9060</v>
      </c>
      <c r="M98" s="227">
        <f t="shared" si="6"/>
        <v>39060</v>
      </c>
      <c r="N98" s="227">
        <f>M98*12</f>
        <v>468720</v>
      </c>
    </row>
    <row r="99" spans="2:14" ht="24.75" customHeight="1">
      <c r="B99" s="206"/>
      <c r="C99" s="207"/>
      <c r="D99" s="207"/>
      <c r="E99" s="285" t="s">
        <v>107</v>
      </c>
      <c r="F99" s="306"/>
      <c r="G99" s="307"/>
      <c r="H99" s="288">
        <f t="shared" si="4"/>
        <v>51330</v>
      </c>
      <c r="I99" s="304"/>
      <c r="J99" s="227">
        <v>59000</v>
      </c>
      <c r="K99" s="227">
        <f>J99*0.13</f>
        <v>7670</v>
      </c>
      <c r="L99" s="227">
        <f t="shared" si="5"/>
        <v>17818</v>
      </c>
      <c r="M99" s="227">
        <f t="shared" si="6"/>
        <v>76818</v>
      </c>
      <c r="N99" s="227">
        <f t="shared" si="7"/>
        <v>921816</v>
      </c>
    </row>
    <row r="100" spans="2:14" ht="17.25" customHeight="1">
      <c r="B100" s="206"/>
      <c r="C100" s="207"/>
      <c r="D100" s="207"/>
      <c r="E100" s="285" t="s">
        <v>95</v>
      </c>
      <c r="F100" s="306"/>
      <c r="G100" s="307"/>
      <c r="H100" s="288">
        <f t="shared" si="4"/>
        <v>26386</v>
      </c>
      <c r="I100" s="304"/>
      <c r="J100" s="227">
        <v>30000</v>
      </c>
      <c r="K100" s="227">
        <v>3614</v>
      </c>
      <c r="L100" s="227">
        <v>8400</v>
      </c>
      <c r="M100" s="227">
        <f t="shared" si="6"/>
        <v>38400</v>
      </c>
      <c r="N100" s="227">
        <f t="shared" si="7"/>
        <v>460800</v>
      </c>
    </row>
    <row r="101" spans="2:14" ht="18" customHeight="1">
      <c r="B101" s="204"/>
      <c r="C101" s="205"/>
      <c r="D101" s="205"/>
      <c r="E101" s="299" t="s">
        <v>148</v>
      </c>
      <c r="F101" s="300"/>
      <c r="G101" s="301"/>
      <c r="H101" s="288">
        <f>H94+H95+H97+H99+H100</f>
        <v>267376</v>
      </c>
      <c r="I101" s="304"/>
      <c r="J101" s="227">
        <f>J94+J95+J97+J98+J99+J100</f>
        <v>337000</v>
      </c>
      <c r="K101" s="227">
        <f>K94+K95+K97+K99+K100</f>
        <v>39624</v>
      </c>
      <c r="L101" s="227">
        <f>L94+L95+L97+L99+L100</f>
        <v>92054</v>
      </c>
      <c r="M101" s="227"/>
      <c r="N101" s="228"/>
    </row>
    <row r="102" spans="2:14" ht="18" customHeight="1">
      <c r="B102" s="204"/>
      <c r="C102" s="205"/>
      <c r="D102" s="205"/>
      <c r="E102" s="299" t="s">
        <v>108</v>
      </c>
      <c r="F102" s="300"/>
      <c r="G102" s="301"/>
      <c r="H102" s="305"/>
      <c r="I102" s="304"/>
      <c r="J102" s="227"/>
      <c r="K102" s="227"/>
      <c r="L102" s="227"/>
      <c r="M102" s="227">
        <f>M94+M95+M96+M97+M98+M99+M100</f>
        <v>457644</v>
      </c>
      <c r="N102" s="229">
        <f>N94+N95+N96+N97+N98+N99+N100</f>
        <v>5491728</v>
      </c>
    </row>
    <row r="103" spans="2:14" ht="18" customHeight="1">
      <c r="B103" s="204"/>
      <c r="C103" s="205"/>
      <c r="D103" s="205"/>
      <c r="E103" s="231"/>
      <c r="F103" s="231"/>
      <c r="G103" s="231"/>
      <c r="H103" s="232"/>
      <c r="I103" s="232"/>
      <c r="J103" s="233"/>
      <c r="K103" s="233"/>
      <c r="L103" s="233"/>
      <c r="M103" s="233"/>
      <c r="N103" s="234"/>
    </row>
    <row r="104" spans="2:14" ht="18" customHeight="1">
      <c r="B104" s="204"/>
      <c r="C104" s="205"/>
      <c r="D104" s="205"/>
      <c r="E104" s="231"/>
      <c r="F104" s="231"/>
      <c r="G104" s="231"/>
      <c r="H104" s="232"/>
      <c r="I104" s="232"/>
      <c r="J104" s="233"/>
      <c r="K104" s="235"/>
      <c r="L104" s="235"/>
      <c r="M104" s="235"/>
      <c r="N104" s="159"/>
    </row>
    <row r="105" spans="2:14" ht="18" customHeight="1">
      <c r="B105" s="204"/>
      <c r="C105" s="205"/>
      <c r="D105" s="205"/>
      <c r="E105" s="231"/>
      <c r="F105" s="231"/>
      <c r="G105" s="231"/>
      <c r="H105" s="232"/>
      <c r="I105" s="356" t="s">
        <v>124</v>
      </c>
      <c r="J105" s="357"/>
      <c r="K105" s="357"/>
      <c r="L105" s="235"/>
      <c r="M105" s="235" t="s">
        <v>125</v>
      </c>
      <c r="N105" s="159"/>
    </row>
    <row r="106" spans="8:10" ht="12.75">
      <c r="H106" s="230"/>
      <c r="I106" s="230"/>
      <c r="J106" s="230"/>
    </row>
  </sheetData>
  <sheetProtection/>
  <mergeCells count="176">
    <mergeCell ref="K42:L42"/>
    <mergeCell ref="K31:L31"/>
    <mergeCell ref="K37:L37"/>
    <mergeCell ref="A27:A31"/>
    <mergeCell ref="K29:L29"/>
    <mergeCell ref="K30:L30"/>
    <mergeCell ref="J43:J49"/>
    <mergeCell ref="K60:L60"/>
    <mergeCell ref="K49:L49"/>
    <mergeCell ref="K45:L45"/>
    <mergeCell ref="K44:L44"/>
    <mergeCell ref="K54:L54"/>
    <mergeCell ref="K55:L55"/>
    <mergeCell ref="K50:L50"/>
    <mergeCell ref="K57:L57"/>
    <mergeCell ref="K52:L52"/>
    <mergeCell ref="B86:I86"/>
    <mergeCell ref="K70:L70"/>
    <mergeCell ref="K68:L68"/>
    <mergeCell ref="E65:E78"/>
    <mergeCell ref="K59:L59"/>
    <mergeCell ref="K74:L74"/>
    <mergeCell ref="E56:E59"/>
    <mergeCell ref="K56:L56"/>
    <mergeCell ref="H56:H59"/>
    <mergeCell ref="G56:G59"/>
    <mergeCell ref="A79:A82"/>
    <mergeCell ref="B79:B82"/>
    <mergeCell ref="C79:C82"/>
    <mergeCell ref="D79:D82"/>
    <mergeCell ref="F79:F82"/>
    <mergeCell ref="G79:G82"/>
    <mergeCell ref="E79:E82"/>
    <mergeCell ref="A65:A78"/>
    <mergeCell ref="A62:A64"/>
    <mergeCell ref="B62:B64"/>
    <mergeCell ref="C62:C64"/>
    <mergeCell ref="D62:D64"/>
    <mergeCell ref="F62:F64"/>
    <mergeCell ref="F65:F78"/>
    <mergeCell ref="H44:H50"/>
    <mergeCell ref="K53:L53"/>
    <mergeCell ref="F60:F61"/>
    <mergeCell ref="A32:A42"/>
    <mergeCell ref="I44:I51"/>
    <mergeCell ref="I52:I55"/>
    <mergeCell ref="B52:B55"/>
    <mergeCell ref="C52:C55"/>
    <mergeCell ref="D52:D55"/>
    <mergeCell ref="A60:A61"/>
    <mergeCell ref="D60:D61"/>
    <mergeCell ref="H52:H55"/>
    <mergeCell ref="D56:D59"/>
    <mergeCell ref="B56:B59"/>
    <mergeCell ref="C60:C61"/>
    <mergeCell ref="F52:F55"/>
    <mergeCell ref="E60:E61"/>
    <mergeCell ref="H60:H61"/>
    <mergeCell ref="N12:N13"/>
    <mergeCell ref="F56:F59"/>
    <mergeCell ref="A56:A59"/>
    <mergeCell ref="G60:G61"/>
    <mergeCell ref="K61:L61"/>
    <mergeCell ref="B60:B61"/>
    <mergeCell ref="B43:B51"/>
    <mergeCell ref="A52:A55"/>
    <mergeCell ref="B32:B42"/>
    <mergeCell ref="K18:L18"/>
    <mergeCell ref="A14:A26"/>
    <mergeCell ref="G62:G64"/>
    <mergeCell ref="I65:I78"/>
    <mergeCell ref="G65:G78"/>
    <mergeCell ref="K65:L65"/>
    <mergeCell ref="K67:L67"/>
    <mergeCell ref="K69:L69"/>
    <mergeCell ref="K66:L66"/>
    <mergeCell ref="K63:L63"/>
    <mergeCell ref="K62:L62"/>
    <mergeCell ref="A44:A51"/>
    <mergeCell ref="F44:F51"/>
    <mergeCell ref="G44:G51"/>
    <mergeCell ref="H65:H78"/>
    <mergeCell ref="K58:L58"/>
    <mergeCell ref="I60:I61"/>
    <mergeCell ref="K64:L64"/>
    <mergeCell ref="K73:L73"/>
    <mergeCell ref="K78:L78"/>
    <mergeCell ref="C56:C59"/>
    <mergeCell ref="K12:L13"/>
    <mergeCell ref="K15:L15"/>
    <mergeCell ref="E12:E13"/>
    <mergeCell ref="M12:M13"/>
    <mergeCell ref="B14:B26"/>
    <mergeCell ref="K14:L14"/>
    <mergeCell ref="K20:L20"/>
    <mergeCell ref="K17:L17"/>
    <mergeCell ref="K25:L25"/>
    <mergeCell ref="B27:B31"/>
    <mergeCell ref="K81:L81"/>
    <mergeCell ref="I79:I82"/>
    <mergeCell ref="A5:M5"/>
    <mergeCell ref="A12:A13"/>
    <mergeCell ref="B12:B13"/>
    <mergeCell ref="C12:C13"/>
    <mergeCell ref="D12:D13"/>
    <mergeCell ref="K32:L32"/>
    <mergeCell ref="F12:I12"/>
    <mergeCell ref="K36:L36"/>
    <mergeCell ref="K19:L19"/>
    <mergeCell ref="K79:M79"/>
    <mergeCell ref="K82:L82"/>
    <mergeCell ref="K80:L80"/>
    <mergeCell ref="I105:K105"/>
    <mergeCell ref="B87:I87"/>
    <mergeCell ref="B88:I88"/>
    <mergeCell ref="B89:I89"/>
    <mergeCell ref="B90:I90"/>
    <mergeCell ref="Q20:S20"/>
    <mergeCell ref="K33:L33"/>
    <mergeCell ref="K21:L21"/>
    <mergeCell ref="K41:L41"/>
    <mergeCell ref="K22:L22"/>
    <mergeCell ref="K40:L40"/>
    <mergeCell ref="K34:L34"/>
    <mergeCell ref="K38:L38"/>
    <mergeCell ref="K26:L26"/>
    <mergeCell ref="H62:H64"/>
    <mergeCell ref="B65:B78"/>
    <mergeCell ref="C65:C78"/>
    <mergeCell ref="D65:D78"/>
    <mergeCell ref="E52:E55"/>
    <mergeCell ref="K43:L43"/>
    <mergeCell ref="K71:L71"/>
    <mergeCell ref="K48:L48"/>
    <mergeCell ref="K47:L47"/>
    <mergeCell ref="K46:L46"/>
    <mergeCell ref="E97:G97"/>
    <mergeCell ref="E99:G99"/>
    <mergeCell ref="E100:G100"/>
    <mergeCell ref="J52:J55"/>
    <mergeCell ref="H79:H82"/>
    <mergeCell ref="I56:I59"/>
    <mergeCell ref="E62:E64"/>
    <mergeCell ref="I62:I64"/>
    <mergeCell ref="J65:J70"/>
    <mergeCell ref="G52:G55"/>
    <mergeCell ref="E101:G101"/>
    <mergeCell ref="E102:G102"/>
    <mergeCell ref="H93:I93"/>
    <mergeCell ref="H94:I94"/>
    <mergeCell ref="H95:I95"/>
    <mergeCell ref="H97:I97"/>
    <mergeCell ref="H99:I99"/>
    <mergeCell ref="H100:I100"/>
    <mergeCell ref="H101:I101"/>
    <mergeCell ref="H102:I102"/>
    <mergeCell ref="B7:D7"/>
    <mergeCell ref="B8:D8"/>
    <mergeCell ref="B9:D9"/>
    <mergeCell ref="B6:D6"/>
    <mergeCell ref="B10:D10"/>
    <mergeCell ref="K39:L39"/>
    <mergeCell ref="K24:L24"/>
    <mergeCell ref="K28:L28"/>
    <mergeCell ref="K23:L23"/>
    <mergeCell ref="K35:L35"/>
    <mergeCell ref="K72:L72"/>
    <mergeCell ref="E98:G98"/>
    <mergeCell ref="H98:I98"/>
    <mergeCell ref="E96:G96"/>
    <mergeCell ref="H96:I96"/>
    <mergeCell ref="K16:L16"/>
    <mergeCell ref="K75:L75"/>
    <mergeCell ref="K76:L76"/>
    <mergeCell ref="K77:L77"/>
    <mergeCell ref="E95:G95"/>
  </mergeCells>
  <printOptions/>
  <pageMargins left="0.2362204724409449" right="0.03937007874015748" top="0.15748031496062992" bottom="0.15748031496062992" header="0" footer="0"/>
  <pageSetup horizontalDpi="600" verticalDpi="600" orientation="landscape" paperSize="9" scale="99" r:id="rId1"/>
  <colBreaks count="1" manualBreakCount="1">
    <brk id="14" max="1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B2">
      <selection activeCell="J10" sqref="J10"/>
    </sheetView>
  </sheetViews>
  <sheetFormatPr defaultColWidth="9.140625" defaultRowHeight="12.75"/>
  <cols>
    <col min="1" max="1" width="9.140625" style="0" hidden="1" customWidth="1"/>
    <col min="2" max="2" width="29.421875" style="0" customWidth="1"/>
    <col min="3" max="3" width="17.140625" style="0" customWidth="1"/>
    <col min="4" max="4" width="15.140625" style="0" customWidth="1"/>
    <col min="5" max="5" width="16.00390625" style="0" customWidth="1"/>
    <col min="6" max="6" width="10.8515625" style="0" customWidth="1"/>
    <col min="7" max="7" width="13.421875" style="0" customWidth="1"/>
    <col min="8" max="8" width="13.7109375" style="0" customWidth="1"/>
    <col min="9" max="9" width="12.57421875" style="0" customWidth="1"/>
  </cols>
  <sheetData>
    <row r="1" ht="12.75">
      <c r="B1" s="118" t="s">
        <v>127</v>
      </c>
    </row>
    <row r="2" spans="2:6" ht="24.75" customHeight="1">
      <c r="B2" s="463" t="s">
        <v>121</v>
      </c>
      <c r="C2" s="463"/>
      <c r="D2" s="463"/>
      <c r="E2" s="463"/>
      <c r="F2" s="463"/>
    </row>
    <row r="3" ht="24.75" customHeight="1" thickBot="1">
      <c r="B3" s="118"/>
    </row>
    <row r="4" spans="2:9" ht="24.75" customHeight="1" thickBot="1">
      <c r="B4" s="462"/>
      <c r="C4" s="251"/>
      <c r="D4" s="252" t="s">
        <v>59</v>
      </c>
      <c r="E4" s="215" t="s">
        <v>126</v>
      </c>
      <c r="F4" s="216" t="s">
        <v>63</v>
      </c>
      <c r="G4" s="252" t="s">
        <v>59</v>
      </c>
      <c r="H4" s="215" t="s">
        <v>126</v>
      </c>
      <c r="I4" s="216" t="s">
        <v>63</v>
      </c>
    </row>
    <row r="5" spans="2:9" ht="24.75" customHeight="1" thickBot="1">
      <c r="B5" s="462"/>
      <c r="C5" s="214" t="s">
        <v>122</v>
      </c>
      <c r="D5" s="461" t="s">
        <v>133</v>
      </c>
      <c r="E5" s="359"/>
      <c r="F5" s="360"/>
      <c r="G5" s="464" t="s">
        <v>162</v>
      </c>
      <c r="H5" s="359"/>
      <c r="I5" s="360"/>
    </row>
    <row r="6" spans="2:9" ht="37.5" customHeight="1">
      <c r="B6" s="217" t="s">
        <v>112</v>
      </c>
      <c r="C6" s="261">
        <v>6.12</v>
      </c>
      <c r="D6" s="265">
        <v>6.83</v>
      </c>
      <c r="E6" s="266">
        <v>6.83</v>
      </c>
      <c r="F6" s="267">
        <v>3.69</v>
      </c>
      <c r="G6" s="277">
        <v>8.03</v>
      </c>
      <c r="H6" s="278">
        <v>8.03</v>
      </c>
      <c r="I6" s="279">
        <v>8.03</v>
      </c>
    </row>
    <row r="7" spans="2:9" ht="21" customHeight="1">
      <c r="B7" s="208" t="s">
        <v>132</v>
      </c>
      <c r="C7" s="262">
        <v>11.63</v>
      </c>
      <c r="D7" s="268">
        <v>16.18</v>
      </c>
      <c r="E7" s="210">
        <v>16.18</v>
      </c>
      <c r="F7" s="269">
        <v>16.18</v>
      </c>
      <c r="G7" s="268">
        <v>12.62</v>
      </c>
      <c r="H7" s="210">
        <v>12.62</v>
      </c>
      <c r="I7" s="269">
        <v>12.62</v>
      </c>
    </row>
    <row r="8" spans="2:9" ht="32.25" customHeight="1">
      <c r="B8" s="208" t="s">
        <v>47</v>
      </c>
      <c r="C8" s="262">
        <v>13.64</v>
      </c>
      <c r="D8" s="268">
        <v>14.05</v>
      </c>
      <c r="E8" s="210">
        <v>14.05</v>
      </c>
      <c r="F8" s="269">
        <v>14.05</v>
      </c>
      <c r="G8" s="268">
        <v>15.81</v>
      </c>
      <c r="H8" s="210">
        <v>15.81</v>
      </c>
      <c r="I8" s="269">
        <v>15.81</v>
      </c>
    </row>
    <row r="9" spans="2:9" ht="32.25" customHeight="1">
      <c r="B9" s="208" t="s">
        <v>113</v>
      </c>
      <c r="C9" s="262">
        <v>4.8</v>
      </c>
      <c r="D9" s="268">
        <v>4.98</v>
      </c>
      <c r="E9" s="210"/>
      <c r="F9" s="269">
        <v>4.98</v>
      </c>
      <c r="G9" s="268">
        <v>4.93</v>
      </c>
      <c r="H9" s="210">
        <v>0</v>
      </c>
      <c r="I9" s="269">
        <v>4.93</v>
      </c>
    </row>
    <row r="10" spans="2:9" ht="30" customHeight="1">
      <c r="B10" s="211" t="s">
        <v>164</v>
      </c>
      <c r="C10" s="262">
        <v>12.8</v>
      </c>
      <c r="D10" s="268">
        <v>13.85</v>
      </c>
      <c r="E10" s="210">
        <v>13.85</v>
      </c>
      <c r="F10" s="269">
        <v>13.85</v>
      </c>
      <c r="G10" s="268">
        <v>19.27</v>
      </c>
      <c r="H10" s="210">
        <v>19.27</v>
      </c>
      <c r="I10" s="269">
        <v>19.27</v>
      </c>
    </row>
    <row r="11" spans="2:9" ht="20.25" customHeight="1">
      <c r="B11" s="208" t="s">
        <v>114</v>
      </c>
      <c r="C11" s="262">
        <v>7.3</v>
      </c>
      <c r="D11" s="268">
        <v>8.1</v>
      </c>
      <c r="E11" s="210"/>
      <c r="F11" s="269">
        <v>8.1</v>
      </c>
      <c r="G11" s="268">
        <v>8.1</v>
      </c>
      <c r="H11" s="210"/>
      <c r="I11" s="269">
        <v>8.1</v>
      </c>
    </row>
    <row r="12" spans="2:9" ht="21" customHeight="1">
      <c r="B12" s="208" t="s">
        <v>115</v>
      </c>
      <c r="C12" s="262">
        <v>2.5</v>
      </c>
      <c r="D12" s="268">
        <v>2.55</v>
      </c>
      <c r="E12" s="210">
        <v>2.55</v>
      </c>
      <c r="F12" s="269">
        <v>1</v>
      </c>
      <c r="G12" s="268">
        <v>3</v>
      </c>
      <c r="H12" s="210">
        <v>3</v>
      </c>
      <c r="I12" s="269">
        <v>3</v>
      </c>
    </row>
    <row r="13" spans="2:9" ht="19.5" customHeight="1">
      <c r="B13" s="208" t="s">
        <v>116</v>
      </c>
      <c r="C13" s="262">
        <v>1.5</v>
      </c>
      <c r="D13" s="268">
        <v>1.7</v>
      </c>
      <c r="E13" s="210">
        <v>1.7</v>
      </c>
      <c r="F13" s="269"/>
      <c r="G13" s="268">
        <v>2.11</v>
      </c>
      <c r="H13" s="210">
        <v>2.11</v>
      </c>
      <c r="I13" s="269">
        <v>0</v>
      </c>
    </row>
    <row r="14" spans="2:9" ht="20.25" customHeight="1">
      <c r="B14" s="208" t="s">
        <v>117</v>
      </c>
      <c r="C14" s="262">
        <v>6.31</v>
      </c>
      <c r="D14" s="268">
        <v>6.31</v>
      </c>
      <c r="E14" s="210">
        <v>6.31</v>
      </c>
      <c r="F14" s="269">
        <v>6.31</v>
      </c>
      <c r="G14" s="268">
        <v>6.31</v>
      </c>
      <c r="H14" s="210">
        <v>6.31</v>
      </c>
      <c r="I14" s="269">
        <v>6.31</v>
      </c>
    </row>
    <row r="15" spans="2:9" ht="21" customHeight="1">
      <c r="B15" s="208" t="s">
        <v>118</v>
      </c>
      <c r="C15" s="262">
        <v>1</v>
      </c>
      <c r="D15" s="268">
        <v>1</v>
      </c>
      <c r="E15" s="210">
        <v>1</v>
      </c>
      <c r="F15" s="269">
        <v>1</v>
      </c>
      <c r="G15" s="268">
        <v>1</v>
      </c>
      <c r="H15" s="210">
        <v>1</v>
      </c>
      <c r="I15" s="269">
        <v>1</v>
      </c>
    </row>
    <row r="16" spans="2:9" ht="15">
      <c r="B16" s="212" t="s">
        <v>119</v>
      </c>
      <c r="C16" s="263">
        <f>C6+C7+C8+C9+C10+C11+C12+C13+C14+C15</f>
        <v>67.6</v>
      </c>
      <c r="D16" s="270">
        <f>SUM(D6:D15)</f>
        <v>75.55000000000001</v>
      </c>
      <c r="E16" s="213">
        <f>E6+E7+E8+E9+E10+E11+E12+E13+E14+E15</f>
        <v>62.470000000000006</v>
      </c>
      <c r="F16" s="271">
        <f>SUM(F6:F15)</f>
        <v>69.16000000000001</v>
      </c>
      <c r="G16" s="280">
        <f>G6+G7+G8+G9+G10+G11+G12+G13+G14+G15</f>
        <v>81.17999999999999</v>
      </c>
      <c r="H16" s="281">
        <f>H6+H7+H8+H9+H10+H11+H12+H13+H14+H15</f>
        <v>68.15</v>
      </c>
      <c r="I16" s="282">
        <f>I6+I7+I8+I9+I10+I11+I12+I13+I14+I15</f>
        <v>79.07</v>
      </c>
    </row>
    <row r="17" spans="2:9" ht="15">
      <c r="B17" s="209"/>
      <c r="C17" s="264"/>
      <c r="D17" s="268"/>
      <c r="E17" s="210"/>
      <c r="F17" s="269"/>
      <c r="G17" s="275"/>
      <c r="H17" s="50"/>
      <c r="I17" s="276"/>
    </row>
    <row r="18" spans="2:9" ht="15">
      <c r="B18" s="260" t="s">
        <v>163</v>
      </c>
      <c r="C18" s="264"/>
      <c r="D18" s="268">
        <v>32</v>
      </c>
      <c r="E18" s="210">
        <v>32</v>
      </c>
      <c r="F18" s="269">
        <v>32</v>
      </c>
      <c r="G18" s="268">
        <v>59</v>
      </c>
      <c r="H18" s="210">
        <v>59</v>
      </c>
      <c r="I18" s="269">
        <v>59</v>
      </c>
    </row>
    <row r="19" spans="2:9" ht="18.75" customHeight="1" thickBot="1">
      <c r="B19" s="218" t="s">
        <v>120</v>
      </c>
      <c r="C19" s="262">
        <v>220</v>
      </c>
      <c r="D19" s="272">
        <v>220</v>
      </c>
      <c r="E19" s="273">
        <v>220</v>
      </c>
      <c r="F19" s="274">
        <v>220</v>
      </c>
      <c r="G19" s="272">
        <v>220</v>
      </c>
      <c r="H19" s="273">
        <v>220</v>
      </c>
      <c r="I19" s="274">
        <v>220</v>
      </c>
    </row>
    <row r="22" spans="2:4" ht="12.75">
      <c r="B22" t="s">
        <v>124</v>
      </c>
      <c r="D22" t="s">
        <v>125</v>
      </c>
    </row>
  </sheetData>
  <sheetProtection/>
  <mergeCells count="4">
    <mergeCell ref="D5:F5"/>
    <mergeCell ref="B4:B5"/>
    <mergeCell ref="B2:F2"/>
    <mergeCell ref="G5:I5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21">
      <selection activeCell="D27" sqref="D27"/>
    </sheetView>
  </sheetViews>
  <sheetFormatPr defaultColWidth="9.140625" defaultRowHeight="12.75"/>
  <cols>
    <col min="1" max="1" width="18.57421875" style="0" customWidth="1"/>
    <col min="2" max="2" width="18.28125" style="0" customWidth="1"/>
    <col min="3" max="3" width="20.140625" style="0" customWidth="1"/>
    <col min="4" max="4" width="16.00390625" style="0" customWidth="1"/>
    <col min="5" max="5" width="13.140625" style="0" customWidth="1"/>
    <col min="6" max="6" width="16.7109375" style="0" customWidth="1"/>
    <col min="7" max="7" width="38.421875" style="0" customWidth="1"/>
    <col min="8" max="8" width="14.28125" style="0" customWidth="1"/>
    <col min="9" max="9" width="14.57421875" style="0" customWidth="1"/>
  </cols>
  <sheetData>
    <row r="1" ht="12.75">
      <c r="C1" s="117" t="s">
        <v>76</v>
      </c>
    </row>
    <row r="2" ht="12.75">
      <c r="C2" s="117" t="s">
        <v>77</v>
      </c>
    </row>
    <row r="3" ht="12.75">
      <c r="C3" s="117" t="s">
        <v>87</v>
      </c>
    </row>
    <row r="6" spans="1:4" ht="12.75">
      <c r="A6" s="118" t="s">
        <v>89</v>
      </c>
      <c r="B6" s="118"/>
      <c r="C6" s="118"/>
      <c r="D6" s="117"/>
    </row>
    <row r="7" spans="1:4" ht="12.75">
      <c r="A7" s="117"/>
      <c r="B7" s="117"/>
      <c r="C7" s="117"/>
      <c r="D7" s="117"/>
    </row>
    <row r="8" spans="1:9" ht="12.75">
      <c r="A8" s="84" t="s">
        <v>66</v>
      </c>
      <c r="B8" s="84" t="s">
        <v>65</v>
      </c>
      <c r="C8" s="84" t="s">
        <v>67</v>
      </c>
      <c r="D8" s="84" t="s">
        <v>59</v>
      </c>
      <c r="E8" s="84" t="s">
        <v>78</v>
      </c>
      <c r="F8" s="84" t="s">
        <v>63</v>
      </c>
      <c r="H8" s="119" t="s">
        <v>70</v>
      </c>
      <c r="I8" s="120">
        <v>15759.6</v>
      </c>
    </row>
    <row r="9" spans="1:9" ht="31.5" customHeight="1">
      <c r="A9" s="465" t="s">
        <v>62</v>
      </c>
      <c r="B9" s="125">
        <v>10000</v>
      </c>
      <c r="C9" s="155" t="s">
        <v>72</v>
      </c>
      <c r="D9" s="124">
        <f>B9/I11</f>
        <v>0.6233908723108476</v>
      </c>
      <c r="E9" s="50"/>
      <c r="F9" s="124">
        <f>B9/I11</f>
        <v>0.6233908723108476</v>
      </c>
      <c r="H9" s="119" t="s">
        <v>64</v>
      </c>
      <c r="I9" s="120">
        <v>3214.5</v>
      </c>
    </row>
    <row r="10" spans="1:9" ht="33.75">
      <c r="A10" s="465"/>
      <c r="B10" s="125">
        <v>8500</v>
      </c>
      <c r="C10" s="155" t="s">
        <v>68</v>
      </c>
      <c r="D10" s="124">
        <f>B10/I11</f>
        <v>0.5298822414642205</v>
      </c>
      <c r="E10" s="50"/>
      <c r="F10" s="124">
        <f>B10/I11</f>
        <v>0.5298822414642205</v>
      </c>
      <c r="H10" s="119" t="s">
        <v>63</v>
      </c>
      <c r="I10" s="120">
        <v>281.7</v>
      </c>
    </row>
    <row r="11" spans="1:9" ht="22.5">
      <c r="A11" s="465"/>
      <c r="B11" s="125">
        <v>10000</v>
      </c>
      <c r="C11" s="155" t="s">
        <v>82</v>
      </c>
      <c r="D11" s="124">
        <f>B11/I11</f>
        <v>0.6233908723108476</v>
      </c>
      <c r="E11" s="50"/>
      <c r="F11" s="124">
        <f>B11/I11</f>
        <v>0.6233908723108476</v>
      </c>
      <c r="H11" s="119" t="s">
        <v>71</v>
      </c>
      <c r="I11" s="119">
        <f>+I8+I10</f>
        <v>16041.300000000001</v>
      </c>
    </row>
    <row r="12" spans="1:6" ht="33.75">
      <c r="A12" s="465"/>
      <c r="B12" s="125">
        <v>4500</v>
      </c>
      <c r="C12" s="155" t="s">
        <v>42</v>
      </c>
      <c r="D12" s="124">
        <f>B12/I11</f>
        <v>0.2805258925398814</v>
      </c>
      <c r="E12" s="50"/>
      <c r="F12" s="124">
        <f>B12/I11</f>
        <v>0.2805258925398814</v>
      </c>
    </row>
    <row r="13" spans="1:6" ht="12.75">
      <c r="A13" s="465"/>
      <c r="B13" s="125">
        <v>170</v>
      </c>
      <c r="C13" s="155" t="s">
        <v>69</v>
      </c>
      <c r="D13" s="124">
        <f>B13/I11</f>
        <v>0.010597644829284408</v>
      </c>
      <c r="E13" s="50"/>
      <c r="F13" s="124">
        <f>B13/I11</f>
        <v>0.010597644829284408</v>
      </c>
    </row>
    <row r="14" spans="1:6" ht="24.75" customHeight="1">
      <c r="A14" s="84" t="s">
        <v>55</v>
      </c>
      <c r="B14" s="158">
        <f>B9+B10+B11+B12+B13</f>
        <v>33170</v>
      </c>
      <c r="C14" s="154"/>
      <c r="D14" s="125">
        <f>D9+D10+D11+D12+D13</f>
        <v>2.0677875234550815</v>
      </c>
      <c r="E14" s="84"/>
      <c r="F14" s="125">
        <f>F9+F10+F11+F12+F13</f>
        <v>2.0677875234550815</v>
      </c>
    </row>
    <row r="15" spans="1:6" ht="12.75">
      <c r="A15" s="466" t="s">
        <v>47</v>
      </c>
      <c r="B15" s="125">
        <v>20000</v>
      </c>
      <c r="C15" s="36" t="s">
        <v>13</v>
      </c>
      <c r="D15" s="123">
        <v>1.05</v>
      </c>
      <c r="E15" s="123">
        <v>1.05</v>
      </c>
      <c r="F15" s="124"/>
    </row>
    <row r="16" spans="1:6" ht="22.5">
      <c r="A16" s="417"/>
      <c r="B16" s="125">
        <v>182000</v>
      </c>
      <c r="C16" s="76" t="s">
        <v>73</v>
      </c>
      <c r="D16" s="124">
        <v>9.59</v>
      </c>
      <c r="E16" s="124">
        <v>9.59</v>
      </c>
      <c r="F16" s="124"/>
    </row>
    <row r="17" spans="1:6" ht="12.75">
      <c r="A17" s="417"/>
      <c r="B17" s="125">
        <v>9000</v>
      </c>
      <c r="C17" s="76" t="s">
        <v>22</v>
      </c>
      <c r="D17" s="124">
        <v>0.48</v>
      </c>
      <c r="E17" s="153">
        <v>0.48</v>
      </c>
      <c r="F17" s="124"/>
    </row>
    <row r="18" spans="1:6" ht="22.5">
      <c r="A18" s="417"/>
      <c r="B18" s="125">
        <v>12500</v>
      </c>
      <c r="C18" s="77" t="s">
        <v>23</v>
      </c>
      <c r="D18" s="124">
        <f>B18/(I8+I9+I10)</f>
        <v>0.649155059774198</v>
      </c>
      <c r="E18" s="124">
        <f>B18/(I8+I9+I10)</f>
        <v>0.649155059774198</v>
      </c>
      <c r="F18" s="124"/>
    </row>
    <row r="19" spans="1:6" ht="22.5">
      <c r="A19" s="417"/>
      <c r="B19" s="125">
        <v>34000</v>
      </c>
      <c r="C19" s="76" t="s">
        <v>38</v>
      </c>
      <c r="D19" s="124">
        <f>B19/(I8+I9)</f>
        <v>1.791916349128549</v>
      </c>
      <c r="E19" s="124">
        <v>1.79</v>
      </c>
      <c r="F19" s="124"/>
    </row>
    <row r="20" spans="1:6" ht="22.5">
      <c r="A20" s="417"/>
      <c r="B20" s="125">
        <v>1750</v>
      </c>
      <c r="C20" s="76" t="s">
        <v>32</v>
      </c>
      <c r="D20" s="124">
        <f>B20/(I8+I9+I10)</f>
        <v>0.09088170836838771</v>
      </c>
      <c r="E20" s="124">
        <f>B20/(I8+I9+I10)</f>
        <v>0.09088170836838771</v>
      </c>
      <c r="F20" s="124"/>
    </row>
    <row r="21" spans="1:6" ht="12.75">
      <c r="A21" s="467"/>
      <c r="B21" s="125">
        <v>12050</v>
      </c>
      <c r="C21" s="76" t="s">
        <v>58</v>
      </c>
      <c r="D21" s="124">
        <v>0.64</v>
      </c>
      <c r="E21" s="124">
        <v>0.64</v>
      </c>
      <c r="F21" s="124"/>
    </row>
    <row r="22" spans="1:6" ht="23.25" customHeight="1">
      <c r="A22" s="84" t="s">
        <v>55</v>
      </c>
      <c r="B22" s="158">
        <f>B15+B16+B17+B18+B19+B20+B21</f>
        <v>271300</v>
      </c>
      <c r="C22" s="122"/>
      <c r="D22" s="126">
        <f>D15+D16+D17+D18+D19+D20+D21</f>
        <v>14.291953117271136</v>
      </c>
      <c r="E22" s="125">
        <f>E15+E16+E17+E18+E19+E20+E21</f>
        <v>14.290036768142587</v>
      </c>
      <c r="F22" s="125"/>
    </row>
    <row r="23" spans="1:6" ht="36" customHeight="1">
      <c r="A23" s="150"/>
      <c r="B23" s="125">
        <v>168000</v>
      </c>
      <c r="C23" s="122" t="s">
        <v>18</v>
      </c>
      <c r="D23" s="151">
        <f>B23/(I8+I9+I10)</f>
        <v>8.72464400336522</v>
      </c>
      <c r="E23" s="152">
        <f>B23/(I8+I9+I10)</f>
        <v>8.72464400336522</v>
      </c>
      <c r="F23" s="153">
        <f>B23/(I8+I9+I10)</f>
        <v>8.72464400336522</v>
      </c>
    </row>
    <row r="24" spans="1:6" ht="56.25">
      <c r="A24" s="468" t="s">
        <v>79</v>
      </c>
      <c r="B24" s="125">
        <v>36300</v>
      </c>
      <c r="C24" s="155" t="s">
        <v>83</v>
      </c>
      <c r="D24" s="127">
        <f>B24/I11</f>
        <v>2.2629088664883765</v>
      </c>
      <c r="E24" s="128"/>
      <c r="F24" s="124">
        <f>B24/I11</f>
        <v>2.2629088664883765</v>
      </c>
    </row>
    <row r="25" spans="1:6" ht="45">
      <c r="A25" s="469"/>
      <c r="B25" s="125">
        <v>60000</v>
      </c>
      <c r="C25" s="154" t="s">
        <v>84</v>
      </c>
      <c r="D25" s="124">
        <f>B25/(I8+I9+I10)</f>
        <v>3.11594428691615</v>
      </c>
      <c r="E25" s="124">
        <f>B25/(I8+I9+I10)</f>
        <v>3.11594428691615</v>
      </c>
      <c r="F25" s="124">
        <f>B25/(I8+I9+I10)</f>
        <v>3.11594428691615</v>
      </c>
    </row>
    <row r="26" spans="1:6" ht="23.25" customHeight="1">
      <c r="A26" s="84" t="s">
        <v>55</v>
      </c>
      <c r="B26" s="162">
        <f>B23+B24+B25</f>
        <v>264300</v>
      </c>
      <c r="C26" s="50"/>
      <c r="D26" s="129">
        <f>D23+D24+D25</f>
        <v>14.103497156769748</v>
      </c>
      <c r="E26" s="129">
        <f>E23+E25</f>
        <v>11.84058829028137</v>
      </c>
      <c r="F26" s="129">
        <f>F23+F24+F25</f>
        <v>14.103497156769748</v>
      </c>
    </row>
    <row r="27" spans="1:6" ht="24.75" customHeight="1">
      <c r="A27" s="163" t="s">
        <v>86</v>
      </c>
      <c r="B27" s="162">
        <v>45497.67</v>
      </c>
      <c r="C27" s="50"/>
      <c r="D27" s="129">
        <f>B27/I8</f>
        <v>2.8869812685601155</v>
      </c>
      <c r="E27" s="129"/>
      <c r="F27" s="129"/>
    </row>
    <row r="28" spans="1:6" ht="12.75">
      <c r="A28" s="159"/>
      <c r="B28" s="160"/>
      <c r="C28" s="30"/>
      <c r="D28" s="161"/>
      <c r="E28" s="161"/>
      <c r="F28" s="161"/>
    </row>
    <row r="29" spans="1:6" ht="12.75">
      <c r="A29" s="30"/>
      <c r="B29" s="30"/>
      <c r="C29" s="30"/>
      <c r="D29" s="30"/>
      <c r="E29" s="30"/>
      <c r="F29" s="30"/>
    </row>
    <row r="30" spans="1:6" ht="12.75">
      <c r="A30" s="130" t="s">
        <v>74</v>
      </c>
      <c r="B30" s="30"/>
      <c r="C30" s="30"/>
      <c r="D30" s="30"/>
      <c r="E30" s="30"/>
      <c r="F30" s="30"/>
    </row>
    <row r="31" spans="1:6" ht="12.75">
      <c r="A31" s="130" t="s">
        <v>75</v>
      </c>
      <c r="B31" s="30"/>
      <c r="C31" s="30"/>
      <c r="D31" s="30"/>
      <c r="E31" s="30"/>
      <c r="F31" s="30"/>
    </row>
    <row r="32" spans="1:6" ht="12.75">
      <c r="A32" s="30"/>
      <c r="B32" s="30"/>
      <c r="C32" s="30"/>
      <c r="D32" s="30"/>
      <c r="E32" s="30"/>
      <c r="F32" s="30"/>
    </row>
  </sheetData>
  <sheetProtection/>
  <mergeCells count="3">
    <mergeCell ref="A9:A13"/>
    <mergeCell ref="A15:A21"/>
    <mergeCell ref="A24:A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2023-05-16T13:43:05Z</cp:lastPrinted>
  <dcterms:created xsi:type="dcterms:W3CDTF">1996-10-08T23:32:33Z</dcterms:created>
  <dcterms:modified xsi:type="dcterms:W3CDTF">2023-05-16T16:01:21Z</dcterms:modified>
  <cp:category/>
  <cp:version/>
  <cp:contentType/>
  <cp:contentStatus/>
</cp:coreProperties>
</file>